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M\DATOS ESTADISTICOS\"/>
    </mc:Choice>
  </mc:AlternateContent>
  <bookViews>
    <workbookView xWindow="0" yWindow="0" windowWidth="20490" windowHeight="7755" tabRatio="704" firstSheet="2" activeTab="6"/>
  </bookViews>
  <sheets>
    <sheet name="Telefonia" sheetId="4" r:id="rId1"/>
    <sheet name="Tráfico de llamadas de Voz " sheetId="21" r:id="rId2"/>
    <sheet name="Tráfico de SMS" sheetId="22" r:id="rId3"/>
    <sheet name="smartphones+tablets" sheetId="6" r:id="rId4"/>
    <sheet name="Internet x velocidad 2017" sheetId="14" r:id="rId5"/>
    <sheet name="Internet x tec 2017" sheetId="18" r:id="rId6"/>
    <sheet name="penetracion" sheetId="25" r:id="rId7"/>
    <sheet name="Tv Paga 17" sheetId="24" r:id="rId8"/>
    <sheet name="Ingresos a DIC-17" sheetId="23" r:id="rId9"/>
  </sheets>
  <definedNames>
    <definedName name="_xlnm._FilterDatabase" localSheetId="5" hidden="1">'Internet x tec 2017'!$A$1:$R$32</definedName>
  </definedNames>
  <calcPr calcId="152511"/>
</workbook>
</file>

<file path=xl/calcChain.xml><?xml version="1.0" encoding="utf-8"?>
<calcChain xmlns="http://schemas.openxmlformats.org/spreadsheetml/2006/main">
  <c r="D115" i="24" l="1"/>
  <c r="O108" i="24"/>
  <c r="N108" i="24"/>
  <c r="M108" i="24"/>
  <c r="L108" i="24"/>
  <c r="K108" i="24"/>
  <c r="J108" i="24"/>
  <c r="I108" i="24"/>
  <c r="H108" i="24"/>
  <c r="G108" i="24"/>
  <c r="F108" i="24"/>
  <c r="E108" i="24"/>
  <c r="D108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O94" i="24"/>
  <c r="N94" i="24"/>
  <c r="M94" i="24"/>
  <c r="L94" i="24"/>
  <c r="K94" i="24"/>
  <c r="J94" i="24"/>
  <c r="I94" i="24"/>
  <c r="H94" i="24"/>
  <c r="G94" i="24"/>
  <c r="F94" i="24"/>
  <c r="E94" i="24"/>
  <c r="D94" i="24"/>
  <c r="N17" i="21" l="1"/>
  <c r="M17" i="21"/>
  <c r="L17" i="21"/>
  <c r="K17" i="21"/>
  <c r="J17" i="21"/>
  <c r="I17" i="21"/>
  <c r="H17" i="21"/>
  <c r="G17" i="21"/>
  <c r="F17" i="21"/>
  <c r="E17" i="21"/>
  <c r="D17" i="21"/>
  <c r="N16" i="21"/>
  <c r="M16" i="21"/>
  <c r="L16" i="21"/>
  <c r="K16" i="21"/>
  <c r="J16" i="21"/>
  <c r="I16" i="21"/>
  <c r="H16" i="21"/>
  <c r="G16" i="21"/>
  <c r="F16" i="21"/>
  <c r="E16" i="21"/>
  <c r="D16" i="21"/>
  <c r="N15" i="21"/>
  <c r="M15" i="21"/>
  <c r="L15" i="21"/>
  <c r="K15" i="21"/>
  <c r="J15" i="21"/>
  <c r="I15" i="21"/>
  <c r="H15" i="21"/>
  <c r="G15" i="21"/>
  <c r="F15" i="21"/>
  <c r="E15" i="21"/>
  <c r="D15" i="21"/>
  <c r="N14" i="21"/>
  <c r="M14" i="21"/>
  <c r="L14" i="21"/>
  <c r="K14" i="21"/>
  <c r="J14" i="21"/>
  <c r="I14" i="21"/>
  <c r="H14" i="21"/>
  <c r="G14" i="21"/>
  <c r="F14" i="21"/>
  <c r="E14" i="21"/>
  <c r="D14" i="21"/>
  <c r="N13" i="21"/>
  <c r="M13" i="21"/>
  <c r="L13" i="21"/>
  <c r="K13" i="21"/>
  <c r="J13" i="21"/>
  <c r="I13" i="21"/>
  <c r="H13" i="21"/>
  <c r="G13" i="21"/>
  <c r="F13" i="21"/>
  <c r="E13" i="21"/>
  <c r="D13" i="21"/>
  <c r="N12" i="21"/>
  <c r="M12" i="21"/>
  <c r="L12" i="21"/>
  <c r="K12" i="21"/>
  <c r="J12" i="21"/>
  <c r="I12" i="21"/>
  <c r="H12" i="21"/>
  <c r="G12" i="21"/>
  <c r="F12" i="21"/>
  <c r="E12" i="21"/>
  <c r="D12" i="21"/>
  <c r="N11" i="21"/>
  <c r="M11" i="21"/>
  <c r="L11" i="21"/>
  <c r="K11" i="21"/>
  <c r="J11" i="21"/>
  <c r="I11" i="21"/>
  <c r="H11" i="21"/>
  <c r="G11" i="21"/>
  <c r="F11" i="21"/>
  <c r="E11" i="21"/>
  <c r="D11" i="21"/>
  <c r="N10" i="21"/>
  <c r="M10" i="21"/>
  <c r="L10" i="21"/>
  <c r="K10" i="21"/>
  <c r="J10" i="21"/>
  <c r="I10" i="21"/>
  <c r="H10" i="21"/>
  <c r="G10" i="21"/>
  <c r="F10" i="21"/>
  <c r="E10" i="21"/>
  <c r="D10" i="21"/>
  <c r="N9" i="21"/>
  <c r="M9" i="21"/>
  <c r="L9" i="21"/>
  <c r="K9" i="21"/>
  <c r="J9" i="21"/>
  <c r="I9" i="21"/>
  <c r="H9" i="21"/>
  <c r="G9" i="21"/>
  <c r="F9" i="21"/>
  <c r="E9" i="21"/>
  <c r="D9" i="21"/>
  <c r="N8" i="21"/>
  <c r="M8" i="21"/>
  <c r="L8" i="21"/>
  <c r="K8" i="21"/>
  <c r="J8" i="21"/>
  <c r="I8" i="21"/>
  <c r="H8" i="21"/>
  <c r="G8" i="21"/>
  <c r="F8" i="21"/>
  <c r="E8" i="21"/>
  <c r="D8" i="21"/>
  <c r="N7" i="21"/>
  <c r="M7" i="21"/>
  <c r="L7" i="21"/>
  <c r="K7" i="21"/>
  <c r="J7" i="21"/>
  <c r="I7" i="21"/>
  <c r="H7" i="21"/>
  <c r="G7" i="21"/>
  <c r="F7" i="21"/>
  <c r="E7" i="21"/>
  <c r="D7" i="21"/>
  <c r="N6" i="21"/>
  <c r="M6" i="21"/>
  <c r="L6" i="21"/>
  <c r="K6" i="21"/>
  <c r="J6" i="21"/>
  <c r="I6" i="21"/>
  <c r="H6" i="21"/>
  <c r="G6" i="21"/>
  <c r="F6" i="21"/>
  <c r="E6" i="21"/>
  <c r="D6" i="21"/>
  <c r="C42" i="18" l="1"/>
  <c r="G31" i="14"/>
  <c r="G32" i="14"/>
  <c r="G33" i="14"/>
  <c r="G34" i="14"/>
  <c r="G35" i="14"/>
  <c r="F36" i="14"/>
  <c r="E36" i="14"/>
  <c r="D36" i="14"/>
  <c r="C36" i="14"/>
  <c r="Q42" i="18"/>
  <c r="P42" i="18"/>
  <c r="O42" i="18"/>
  <c r="N42" i="18"/>
  <c r="M42" i="18"/>
  <c r="L42" i="18"/>
  <c r="K42" i="18"/>
  <c r="J42" i="18"/>
  <c r="I42" i="18"/>
  <c r="H42" i="18"/>
  <c r="E42" i="18"/>
  <c r="D42" i="18"/>
  <c r="G42" i="18"/>
  <c r="F42" i="18"/>
  <c r="R33" i="18"/>
  <c r="R34" i="18"/>
  <c r="R35" i="18"/>
  <c r="R36" i="18"/>
  <c r="R37" i="18"/>
  <c r="R9" i="18" l="1"/>
  <c r="C60" i="18" l="1"/>
  <c r="C59" i="18"/>
  <c r="C58" i="18"/>
  <c r="C57" i="18"/>
  <c r="C56" i="18"/>
  <c r="C55" i="18"/>
  <c r="C54" i="18"/>
  <c r="C53" i="18"/>
  <c r="C52" i="18"/>
  <c r="C51" i="18"/>
  <c r="C48" i="18"/>
  <c r="C47" i="18"/>
  <c r="C46" i="18"/>
  <c r="B42" i="18"/>
  <c r="C45" i="18" s="1"/>
  <c r="R32" i="18"/>
  <c r="R31" i="18"/>
  <c r="R30" i="18"/>
  <c r="R29" i="18"/>
  <c r="R28" i="18"/>
  <c r="R27" i="18"/>
  <c r="R26" i="18"/>
  <c r="R25" i="18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8" i="18"/>
  <c r="R7" i="18"/>
  <c r="R6" i="18"/>
  <c r="R5" i="18"/>
  <c r="R42" i="18" l="1"/>
  <c r="C50" i="18"/>
  <c r="D40" i="18"/>
  <c r="C49" i="18"/>
  <c r="B39" i="18"/>
  <c r="C64" i="18" l="1"/>
  <c r="C22" i="6"/>
  <c r="H28" i="6" l="1"/>
  <c r="C28" i="6"/>
  <c r="D28" i="6"/>
  <c r="E28" i="6"/>
  <c r="F28" i="6"/>
  <c r="G28" i="6"/>
  <c r="N32" i="6"/>
  <c r="M32" i="6"/>
  <c r="L32" i="6"/>
  <c r="K32" i="6"/>
  <c r="J32" i="6"/>
  <c r="I32" i="6"/>
  <c r="H32" i="6"/>
  <c r="G32" i="6"/>
  <c r="F32" i="6"/>
  <c r="E32" i="6"/>
  <c r="D32" i="6"/>
  <c r="C32" i="6"/>
  <c r="N28" i="6"/>
  <c r="M28" i="6"/>
  <c r="L28" i="6"/>
  <c r="K28" i="6"/>
  <c r="J28" i="6"/>
  <c r="I28" i="6"/>
  <c r="N22" i="6"/>
  <c r="M22" i="6"/>
  <c r="L22" i="6"/>
  <c r="K22" i="6"/>
  <c r="J22" i="6"/>
  <c r="I22" i="6"/>
  <c r="H22" i="6"/>
  <c r="G22" i="6"/>
  <c r="F22" i="6"/>
  <c r="E22" i="6"/>
  <c r="D22" i="6"/>
  <c r="N15" i="6"/>
  <c r="M15" i="6"/>
  <c r="L15" i="6"/>
  <c r="K15" i="6"/>
  <c r="J15" i="6"/>
  <c r="I15" i="6"/>
  <c r="H15" i="6"/>
  <c r="G15" i="6"/>
  <c r="F15" i="6"/>
  <c r="E15" i="6"/>
  <c r="D15" i="6"/>
  <c r="C15" i="6"/>
  <c r="F47" i="14" l="1"/>
  <c r="E47" i="14"/>
  <c r="G46" i="14"/>
  <c r="G45" i="14"/>
  <c r="G44" i="14"/>
  <c r="G43" i="14"/>
  <c r="G42" i="14"/>
  <c r="G41" i="14"/>
  <c r="G40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7" i="14"/>
  <c r="G6" i="14"/>
  <c r="G5" i="14"/>
  <c r="G4" i="14"/>
  <c r="G3" i="14"/>
  <c r="G2" i="14"/>
  <c r="G47" i="14" l="1"/>
  <c r="G8" i="14"/>
  <c r="G36" i="14" s="1"/>
  <c r="B51" i="4" l="1"/>
  <c r="C58" i="4" l="1"/>
  <c r="B58" i="4"/>
  <c r="C57" i="4"/>
  <c r="B57" i="4"/>
  <c r="C56" i="4"/>
  <c r="B56" i="4"/>
  <c r="C55" i="4"/>
  <c r="B55" i="4"/>
  <c r="C54" i="4"/>
  <c r="B54" i="4"/>
  <c r="C53" i="4"/>
  <c r="B53" i="4"/>
  <c r="C52" i="4"/>
  <c r="B52" i="4"/>
  <c r="C51" i="4"/>
  <c r="C50" i="4"/>
  <c r="B50" i="4"/>
  <c r="C49" i="4"/>
  <c r="B49" i="4"/>
  <c r="C48" i="4"/>
  <c r="B48" i="4"/>
  <c r="C47" i="4"/>
  <c r="B47" i="4"/>
  <c r="F40" i="4"/>
  <c r="F39" i="4"/>
  <c r="F38" i="4"/>
  <c r="F37" i="4"/>
  <c r="F36" i="4"/>
  <c r="F35" i="4"/>
  <c r="J28" i="4"/>
  <c r="J29" i="4" s="1"/>
  <c r="J30" i="4" s="1"/>
  <c r="J31" i="4" s="1"/>
  <c r="J32" i="4" s="1"/>
  <c r="J33" i="4" s="1"/>
  <c r="J34" i="4" s="1"/>
  <c r="F25" i="4"/>
  <c r="F24" i="4"/>
  <c r="K23" i="4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F23" i="4"/>
</calcChain>
</file>

<file path=xl/comments1.xml><?xml version="1.0" encoding="utf-8"?>
<comments xmlns="http://schemas.openxmlformats.org/spreadsheetml/2006/main">
  <authors>
    <author>Tito López</author>
  </authors>
  <commentList>
    <comment ref="L2" authorId="0" shapeId="0">
      <text>
        <r>
          <rPr>
            <b/>
            <sz val="9"/>
            <color indexed="81"/>
            <rFont val="Tahoma"/>
            <family val="2"/>
          </rPr>
          <t>Tito López:</t>
        </r>
        <r>
          <rPr>
            <sz val="9"/>
            <color indexed="81"/>
            <rFont val="Tahoma"/>
            <family val="2"/>
          </rPr>
          <t xml:space="preserve">
Red de acceso por pares de cobre.</t>
        </r>
      </text>
    </comment>
  </commentList>
</comments>
</file>

<file path=xl/comments2.xml><?xml version="1.0" encoding="utf-8"?>
<comments xmlns="http://schemas.openxmlformats.org/spreadsheetml/2006/main">
  <authors>
    <author>Emilce Portillo</author>
  </authors>
  <commentList>
    <comment ref="O28" authorId="0" shapeId="0">
      <text>
        <r>
          <rPr>
            <b/>
            <sz val="9"/>
            <color indexed="81"/>
            <rFont val="Tahoma"/>
            <family val="2"/>
          </rPr>
          <t>Emilce Portillo:</t>
        </r>
        <r>
          <rPr>
            <sz val="9"/>
            <color indexed="81"/>
            <rFont val="Tahoma"/>
            <family val="2"/>
          </rPr>
          <t xml:space="preserve">
usuarios promedio </t>
        </r>
      </text>
    </comment>
    <comment ref="O49" authorId="0" shapeId="0">
      <text>
        <r>
          <rPr>
            <b/>
            <sz val="9"/>
            <color indexed="81"/>
            <rFont val="Tahoma"/>
            <family val="2"/>
          </rPr>
          <t>Emilce Portillo:</t>
        </r>
        <r>
          <rPr>
            <sz val="9"/>
            <color indexed="81"/>
            <rFont val="Tahoma"/>
            <family val="2"/>
          </rPr>
          <t xml:space="preserve">
usuarios en promedio </t>
        </r>
      </text>
    </comment>
    <comment ref="O58" authorId="0" shapeId="0">
      <text>
        <r>
          <rPr>
            <b/>
            <sz val="9"/>
            <color indexed="81"/>
            <rFont val="Tahoma"/>
            <family val="2"/>
          </rPr>
          <t>Emilce Portillo:</t>
        </r>
        <r>
          <rPr>
            <sz val="9"/>
            <color indexed="81"/>
            <rFont val="Tahoma"/>
            <family val="2"/>
          </rPr>
          <t xml:space="preserve">
usuarios promedio</t>
        </r>
      </text>
    </comment>
    <comment ref="O69" authorId="0" shapeId="0">
      <text>
        <r>
          <rPr>
            <b/>
            <sz val="9"/>
            <color indexed="81"/>
            <rFont val="Tahoma"/>
            <family val="2"/>
          </rPr>
          <t>Emilce Portillo:</t>
        </r>
        <r>
          <rPr>
            <sz val="9"/>
            <color indexed="81"/>
            <rFont val="Tahoma"/>
            <family val="2"/>
          </rPr>
          <t xml:space="preserve">
usuarios promedio </t>
        </r>
      </text>
    </comment>
    <comment ref="O72" authorId="0" shapeId="0">
      <text>
        <r>
          <rPr>
            <b/>
            <sz val="9"/>
            <color indexed="81"/>
            <rFont val="Tahoma"/>
            <family val="2"/>
          </rPr>
          <t>Emilce Portillo:</t>
        </r>
        <r>
          <rPr>
            <sz val="9"/>
            <color indexed="81"/>
            <rFont val="Tahoma"/>
            <family val="2"/>
          </rPr>
          <t xml:space="preserve">
usuario promedio 
</t>
        </r>
      </text>
    </comment>
  </commentList>
</comments>
</file>

<file path=xl/sharedStrings.xml><?xml version="1.0" encoding="utf-8"?>
<sst xmlns="http://schemas.openxmlformats.org/spreadsheetml/2006/main" count="598" uniqueCount="295">
  <si>
    <t>N°</t>
  </si>
  <si>
    <t>Licenciataria</t>
  </si>
  <si>
    <t>Cable Televisión Fram S.A.</t>
  </si>
  <si>
    <t>Cable Visión Caapucú S.R.L.</t>
  </si>
  <si>
    <t>Cable Visión Choré S.R.L.</t>
  </si>
  <si>
    <t>Caraguatay Video Color (Andrés Riveros G.)</t>
  </si>
  <si>
    <t>Cooperativa Multiactiva Alberdeña Ltda.</t>
  </si>
  <si>
    <t>Cable Visión Eusebio Ayala S.A.</t>
  </si>
  <si>
    <t>DAMOA S.A. (Horqueta)</t>
  </si>
  <si>
    <t>TV Cable Hernandarias S.A. (TVH)</t>
  </si>
  <si>
    <t>Coopersanjuba Ltda. - Ayolas</t>
  </si>
  <si>
    <t>TV Com S.A. (Cable Visión Itacurubí)</t>
  </si>
  <si>
    <t>TELEVISIÓN DIRIGIDA CHACO S.A.</t>
  </si>
  <si>
    <t>DATDH</t>
  </si>
  <si>
    <t>AMX Paraguay S.A.</t>
  </si>
  <si>
    <t>Christian Ricardo Aguayo Schmidt</t>
  </si>
  <si>
    <t>Servicios y Productos Multimedios S.A. - Millicom</t>
  </si>
  <si>
    <t>Total suscriptores</t>
  </si>
  <si>
    <t>&lt;512 kbps</t>
  </si>
  <si>
    <t>&lt;2 Mbps</t>
  </si>
  <si>
    <t>&lt;10 Mbps</t>
  </si>
  <si>
    <t>=&gt;10 Mbps</t>
  </si>
  <si>
    <t>Consultronic S.A. - FO</t>
  </si>
  <si>
    <t>Internet &amp; Media S.A. (Go Internet) Villarrica</t>
  </si>
  <si>
    <t>Netvision</t>
  </si>
  <si>
    <t>Planet Internet SA</t>
  </si>
  <si>
    <t>Puntocom Internet (Isaac G. Bacteke K)</t>
  </si>
  <si>
    <t>Swiss net CDE (Luisa Piro de Zubrzycki)</t>
  </si>
  <si>
    <t>TEISA SA</t>
  </si>
  <si>
    <t>Virginia Sanchez Furlanetto</t>
  </si>
  <si>
    <t>COOPERSANJUBA (Intercoop)</t>
  </si>
  <si>
    <t>NUCLEO S.A. - MOVIL 3G</t>
  </si>
  <si>
    <t>NUCLEO S.A. - MOVIL LTE</t>
  </si>
  <si>
    <t>Telecel SA – MOVIL 3G</t>
  </si>
  <si>
    <t>AMX Paraguay S.A. - MOVIL 3G</t>
  </si>
  <si>
    <t>SOL Telecomunicaciones S.A.</t>
  </si>
  <si>
    <t>Internet S.A.</t>
  </si>
  <si>
    <t>Cable Visión del Sur (Erwin Hamann Gerke, Hohenau)</t>
  </si>
  <si>
    <t>Meganet SRL (Elcides Fell)</t>
  </si>
  <si>
    <t>Jacqueline Madelaire Gubetich (Get Line)</t>
  </si>
  <si>
    <t>TESAM Paraguay S.A.</t>
  </si>
  <si>
    <t>Chaco Comunicaciones (Chaconet, Leander Friesen)</t>
  </si>
  <si>
    <t>RIEDER</t>
  </si>
  <si>
    <t>Cable Televisión Satelital SRL</t>
  </si>
  <si>
    <t>Hola Paraguay S.A. - 4G</t>
  </si>
  <si>
    <t>Hola Paraguay S.A. - 3G</t>
  </si>
  <si>
    <t>Video Cable Continental S.A.</t>
  </si>
  <si>
    <t>Liz Carolina Sánchez</t>
  </si>
  <si>
    <t>Mediter S.R.L.</t>
  </si>
  <si>
    <t>Total Fijo</t>
  </si>
  <si>
    <t>S. y P.Multimedios S.A. - cablemodem - Millicom</t>
  </si>
  <si>
    <t>Telecel S.A. Cable Módem - Millicom</t>
  </si>
  <si>
    <t>Telecel S.A. - Fijo – Wimax - Millicom</t>
  </si>
  <si>
    <t>Telecel S.A. - Fijo – Fibra Optica - Millicom</t>
  </si>
  <si>
    <t>NUCLEO S.A. - Fijo – WIMAX+FO+GPON</t>
  </si>
  <si>
    <t>Internet móvil - módem USB/dongles</t>
  </si>
  <si>
    <t>Total móvil</t>
  </si>
  <si>
    <t>PRESTADORA DE SERVICIOS</t>
  </si>
  <si>
    <t>DISPOSITIVO/TECNOLOGÍA</t>
  </si>
  <si>
    <t>SMARTPHONE / 2G</t>
  </si>
  <si>
    <t>FEATURE PHONE / 2G</t>
  </si>
  <si>
    <t>MODEM / DATACARD / 2G</t>
  </si>
  <si>
    <t>MODEM / TABLET / 2G</t>
  </si>
  <si>
    <t>SMARTPHONE - 3G</t>
  </si>
  <si>
    <t>FEATURE PHONE - 3G</t>
  </si>
  <si>
    <t>MODEM / DATACARD - 3G</t>
  </si>
  <si>
    <t>MODEM / TABLET - 3G</t>
  </si>
  <si>
    <t>SMARTPHONE - 4G</t>
  </si>
  <si>
    <t>FEATURE PHONE - 4G</t>
  </si>
  <si>
    <t>MODEM / DATACARD - 4G</t>
  </si>
  <si>
    <t>MODEM /TABLET - 4G</t>
  </si>
  <si>
    <t>TOTAL</t>
  </si>
  <si>
    <t>NÚCLEO S.A</t>
  </si>
  <si>
    <t>AMX PARAGUAY S.A</t>
  </si>
  <si>
    <t>HOLA PARAGUAY S.A</t>
  </si>
  <si>
    <t>2G</t>
  </si>
  <si>
    <t>3G</t>
  </si>
  <si>
    <t>4G</t>
  </si>
  <si>
    <t>ADSL</t>
  </si>
  <si>
    <t>Wimax</t>
  </si>
  <si>
    <t>Wireless 2.4 Ghz</t>
  </si>
  <si>
    <t>F. O.</t>
  </si>
  <si>
    <t>Cable Módem</t>
  </si>
  <si>
    <t xml:space="preserve"> wireless (TDMA,MMDS)</t>
  </si>
  <si>
    <t>Satelital</t>
  </si>
  <si>
    <t>Ethernet</t>
  </si>
  <si>
    <t>Total</t>
  </si>
  <si>
    <t>B.A.</t>
  </si>
  <si>
    <t>&lt;512kbps</t>
  </si>
  <si>
    <t>UNA – CNC</t>
  </si>
  <si>
    <t>Satelital Cable Visión S.A.</t>
  </si>
  <si>
    <t>TE.SAM Paraguay S.A.</t>
  </si>
  <si>
    <t>Cable Visión del Sur (Erwin HamannGerke, Hohenau)</t>
  </si>
  <si>
    <t>Consultronic S.A.</t>
  </si>
  <si>
    <t>Internet &amp; Media S.A.</t>
  </si>
  <si>
    <t>Rieder Internet</t>
  </si>
  <si>
    <t>Hola Paraguay S.A.</t>
  </si>
  <si>
    <t>Copaco SA</t>
  </si>
  <si>
    <t>NUCLEO S.A.</t>
  </si>
  <si>
    <t>Liz Carolina Sanchez</t>
  </si>
  <si>
    <t>Video Cable Continental S.A</t>
  </si>
  <si>
    <t>Velocidad</t>
  </si>
  <si>
    <t>Cantidad</t>
  </si>
  <si>
    <t>3G (sólo por módem USB)</t>
  </si>
  <si>
    <t>4G (sólo por módem USB)</t>
  </si>
  <si>
    <t>Fibra óptica</t>
  </si>
  <si>
    <t>Telecel S.A. - Millicom</t>
  </si>
  <si>
    <t xml:space="preserve">Telecel S.A. MMDS – 2500 Mhz - Millicom </t>
  </si>
  <si>
    <t>Copaco ADSL+FO+Radio</t>
  </si>
  <si>
    <t>UNA – CNC Fibra Óptica+Wireless</t>
  </si>
  <si>
    <t>RESUMEN</t>
  </si>
  <si>
    <t>Total fijo</t>
  </si>
  <si>
    <t>Total móvil + fijo</t>
  </si>
  <si>
    <t>Copaco S.A. - 4G/LTE</t>
  </si>
  <si>
    <t>Prepago</t>
  </si>
  <si>
    <t>Pospago</t>
  </si>
  <si>
    <t>Telecel S.A.</t>
  </si>
  <si>
    <t>Núcleo S.A.</t>
  </si>
  <si>
    <t>TELECEL S.A</t>
  </si>
  <si>
    <t>Cable distribución</t>
  </si>
  <si>
    <t>VC Continental S.A.</t>
  </si>
  <si>
    <t>COPACO S.A.</t>
  </si>
  <si>
    <t>Virtual Net itapúa( Vanderlei E. Prill/Ma. Auxiliadora)</t>
  </si>
  <si>
    <t>Luis Fernando Junkerfeuerborn Schwngber</t>
  </si>
  <si>
    <t>Mes-año</t>
  </si>
  <si>
    <t>VoIP</t>
  </si>
  <si>
    <t>Radio fijo</t>
  </si>
  <si>
    <t>Cobre</t>
  </si>
  <si>
    <t xml:space="preserve">Internet Fijo - </t>
  </si>
  <si>
    <t xml:space="preserve">Total móvil - </t>
  </si>
  <si>
    <t>Servicios Y Productos Multimedios S.A.</t>
  </si>
  <si>
    <t>TELECEL S.A. -(ex CVC)</t>
  </si>
  <si>
    <t xml:space="preserve">VS Brother S.A. </t>
  </si>
  <si>
    <t xml:space="preserve">Coopersanjuba Ltda. - San Juan Bautista </t>
  </si>
  <si>
    <t xml:space="preserve">Caacupe Cable Visión S.A. </t>
  </si>
  <si>
    <t xml:space="preserve">Cable Visión Color S.A. </t>
  </si>
  <si>
    <t xml:space="preserve">TV MAX Cable S.A. - Cnel. Oviedo </t>
  </si>
  <si>
    <t>TV Cable S.A. (TVCSA, Cnel. Oviedo)</t>
  </si>
  <si>
    <t>TV2 - Minga Guazú Cable S.A.</t>
  </si>
  <si>
    <t>Coopersanjuba Ltda. -  San Ignacio</t>
  </si>
  <si>
    <t>Video Cable Santa Rita - Carlos A. Sánchez</t>
  </si>
  <si>
    <t xml:space="preserve">Carlos A. Sánchez - Caaguazu </t>
  </si>
  <si>
    <t xml:space="preserve">Intercable (Jorge Manuel Saldívar B.) Itá </t>
  </si>
  <si>
    <t>DAMOA S.A. (Tapiracuai Video Cable SRL)</t>
  </si>
  <si>
    <t xml:space="preserve">Entretenimiento Piribebuy S.A. </t>
  </si>
  <si>
    <t>Cable Visión del Sur S.A. (Erwin Hamann Gerke, Hohenau)</t>
  </si>
  <si>
    <t>Telecable S.A.</t>
  </si>
  <si>
    <t>Cable Visión Tobatí S.A.</t>
  </si>
  <si>
    <t xml:space="preserve">CVC Imagen y Color S.A. </t>
  </si>
  <si>
    <t xml:space="preserve">Samper Video Cable S.A. </t>
  </si>
  <si>
    <t>Tal - MEC Caaguazu S.A.</t>
  </si>
  <si>
    <t>CABLEVISIÓN CURUGUATY (NILDA CONCEPCION CASTILLO DE ORTEGA.)</t>
  </si>
  <si>
    <t xml:space="preserve">GOSI S.A. - </t>
  </si>
  <si>
    <t xml:space="preserve">PUNTO MASTER S.A. </t>
  </si>
  <si>
    <t xml:space="preserve">EMPRENOR S.A. </t>
  </si>
  <si>
    <t xml:space="preserve">Carlos Cibils Bogado </t>
  </si>
  <si>
    <t>Merced Alejandro Castillo Núñez</t>
  </si>
  <si>
    <t xml:space="preserve">Mirian Isabel Ibarra Pachinik </t>
  </si>
  <si>
    <t xml:space="preserve">ITAKARU S.A. </t>
  </si>
  <si>
    <t xml:space="preserve">Maria Ramona Avalos de Brunet - Carmen Visión </t>
  </si>
  <si>
    <t>TV Cable Campo 9 (Rosalina Kattebeke Cartes)</t>
  </si>
  <si>
    <t>Panamericana TV Cable S.A.</t>
  </si>
  <si>
    <t xml:space="preserve">Nordeste TV Cable SRL </t>
  </si>
  <si>
    <t xml:space="preserve">KAARENDY S.A. </t>
  </si>
  <si>
    <t>María Julia Alderete Torres -  TV CABLE SAN ALBERTO</t>
  </si>
  <si>
    <t xml:space="preserve">Satelital Cable Visión S.A. </t>
  </si>
  <si>
    <t>Francisco Javier Martínez Benítez (Gral. Elizardo Aquino)</t>
  </si>
  <si>
    <t>Francisco Javier Martínez Benítez  (Villa del Rosario)</t>
  </si>
  <si>
    <t xml:space="preserve">Simón Konarreuski </t>
  </si>
  <si>
    <t>Cable Visión Carapegua S.A.</t>
  </si>
  <si>
    <t xml:space="preserve">Nelson Benítez Martínez </t>
  </si>
  <si>
    <t xml:space="preserve">Julio César Rodríguez Pereira </t>
  </si>
  <si>
    <t>Naranja Poty Comuniciones S.A.</t>
  </si>
  <si>
    <t xml:space="preserve">Enrique Rene Faria Schneider </t>
  </si>
  <si>
    <t xml:space="preserve">SANTTION S.A. </t>
  </si>
  <si>
    <t xml:space="preserve">Agustín Quiroga Arévalos </t>
  </si>
  <si>
    <t>TV Cable Quiindy S.A.</t>
  </si>
  <si>
    <t xml:space="preserve">Cable Televisión Sistema S.A. </t>
  </si>
  <si>
    <t xml:space="preserve">Luis Emiliano Gauto García </t>
  </si>
  <si>
    <t>Emigdio Almirón Pérez</t>
  </si>
  <si>
    <t xml:space="preserve">San Pedro Cablevisión S.A. </t>
  </si>
  <si>
    <t xml:space="preserve">Nilda Concepción Canale de Silva </t>
  </si>
  <si>
    <t xml:space="preserve"> Simone Alisson Wirshke Monges </t>
  </si>
  <si>
    <t>El Cable S.A.</t>
  </si>
  <si>
    <t>Frontera Multicanal TV Cable S.A.</t>
  </si>
  <si>
    <t>Gladys Zunilda Borda de Bottino</t>
  </si>
  <si>
    <t>Mbaracayú S.R.L.</t>
  </si>
  <si>
    <t xml:space="preserve">TV Cable Colmenense S.A. </t>
  </si>
  <si>
    <t>TV Miranda S.R.L.</t>
  </si>
  <si>
    <t>Julian Gerardo Sánchez Guerrero</t>
  </si>
  <si>
    <t>Visión Intercable S.A.</t>
  </si>
  <si>
    <t>Bella Vista Cable Color S.A.</t>
  </si>
  <si>
    <t xml:space="preserve">CAAGUAZÚ CABLE COLOR </t>
  </si>
  <si>
    <t>AGUS S.A.</t>
  </si>
  <si>
    <t>IDEAL CTV S.R.L.</t>
  </si>
  <si>
    <t>GUAYAYVI CABLEVISIÓN S.R.L. - María Silvana Cañete de Arias</t>
  </si>
  <si>
    <t xml:space="preserve">Carla Liz Oviedo Romero </t>
  </si>
  <si>
    <t xml:space="preserve">Alfredo María Angulo Quevedo </t>
  </si>
  <si>
    <t xml:space="preserve">Griselda Natalia Ruíz </t>
  </si>
  <si>
    <t>Alberto Damian Ghiringhelli Cano</t>
  </si>
  <si>
    <t>Cable televisión Satelial S.R.L.</t>
  </si>
  <si>
    <t>Maria Liz Rossana Baez Penayo</t>
  </si>
  <si>
    <t xml:space="preserve">Pendiente </t>
  </si>
  <si>
    <t>Bruno Enrique Tepper Miszuk - INALAMBRICO Punto a Multipunto B/G</t>
  </si>
  <si>
    <t>Ever Antonio Castellani Aquino</t>
  </si>
  <si>
    <t>Smartphones 4G/LTE</t>
  </si>
  <si>
    <t>Smartphones 3G</t>
  </si>
  <si>
    <t>Tablets 4G</t>
  </si>
  <si>
    <t>Tablets 3G</t>
  </si>
  <si>
    <t>Featurephones (GPRS)</t>
  </si>
  <si>
    <t xml:space="preserve">Otros </t>
  </si>
  <si>
    <t xml:space="preserve">Cantidad de suscripciones por tecnología de acceso - Diciembre 2016. </t>
  </si>
  <si>
    <t>Total de accesos diciembre/2016</t>
  </si>
  <si>
    <t xml:space="preserve">N° </t>
  </si>
  <si>
    <t xml:space="preserve">RIGO SRL </t>
  </si>
  <si>
    <r>
      <rPr>
        <sz val="11"/>
        <rFont val="Calibri"/>
        <family val="2"/>
        <scheme val="minor"/>
      </rPr>
      <t>Ca</t>
    </r>
    <r>
      <rPr>
        <sz val="11"/>
        <color theme="1"/>
        <rFont val="Calibri"/>
        <family val="2"/>
        <scheme val="minor"/>
      </rPr>
      <t>ble Visión Ybycuí  S.A.</t>
    </r>
  </si>
  <si>
    <t>DAMOA S.A. (Chore)</t>
  </si>
  <si>
    <t>TUVES Paraguay S.A.</t>
  </si>
  <si>
    <t xml:space="preserve">IPTV (Licencia Cable Distribución) </t>
  </si>
  <si>
    <t xml:space="preserve">AMX S.A. </t>
  </si>
  <si>
    <t>Radio Distribución Televisiva - UHF Codificado</t>
  </si>
  <si>
    <t>Telecel S.A. (EXTVD)</t>
  </si>
  <si>
    <t xml:space="preserve">TV CABLE PARANA S.A. </t>
  </si>
  <si>
    <t>ND</t>
  </si>
  <si>
    <t xml:space="preserve">ND </t>
  </si>
  <si>
    <t xml:space="preserve">Arlindo Porath - 5.8 </t>
  </si>
  <si>
    <t xml:space="preserve">Arlindo Porath </t>
  </si>
  <si>
    <t xml:space="preserve">Bruno Enrique Tepper Miszuk </t>
  </si>
  <si>
    <t>TELECEL</t>
  </si>
  <si>
    <t xml:space="preserve">MES -AÑO </t>
  </si>
  <si>
    <t>ON-NET</t>
  </si>
  <si>
    <t>TRÁFICO SALIENTES (minutos)</t>
  </si>
  <si>
    <t>TRÁFICO ENTRANTES (minutos)</t>
  </si>
  <si>
    <t xml:space="preserve">C SAL </t>
  </si>
  <si>
    <t xml:space="preserve">N SAL </t>
  </si>
  <si>
    <t xml:space="preserve">A SAL </t>
  </si>
  <si>
    <t xml:space="preserve">H SAL </t>
  </si>
  <si>
    <t xml:space="preserve">I SAL </t>
  </si>
  <si>
    <t>C ENT</t>
  </si>
  <si>
    <t>N ENT</t>
  </si>
  <si>
    <t xml:space="preserve">H ENT </t>
  </si>
  <si>
    <t xml:space="preserve">I ENT </t>
  </si>
  <si>
    <t xml:space="preserve">NÚCLEO </t>
  </si>
  <si>
    <t xml:space="preserve">T SAL </t>
  </si>
  <si>
    <t>T ENT</t>
  </si>
  <si>
    <t xml:space="preserve">HOLA PARAGUAY </t>
  </si>
  <si>
    <t xml:space="preserve">A ENT </t>
  </si>
  <si>
    <t>AMX</t>
  </si>
  <si>
    <t xml:space="preserve">TELECEL </t>
  </si>
  <si>
    <t>SMS</t>
  </si>
  <si>
    <t xml:space="preserve">INT SAL </t>
  </si>
  <si>
    <t xml:space="preserve">INT ENT </t>
  </si>
  <si>
    <t>NÚCLEO</t>
  </si>
  <si>
    <t>A ENT</t>
  </si>
  <si>
    <t>HOLA PARAGUAY</t>
  </si>
  <si>
    <t xml:space="preserve">N ENT </t>
  </si>
  <si>
    <t xml:space="preserve">Ingresos </t>
  </si>
  <si>
    <t xml:space="preserve">Telefonía Fija </t>
  </si>
  <si>
    <t xml:space="preserve">Telefonía Móvil </t>
  </si>
  <si>
    <t>IPTV</t>
  </si>
  <si>
    <t xml:space="preserve">LICENCIATARIAS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</si>
  <si>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</si>
  <si>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</si>
  <si>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</si>
  <si>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</si>
  <si>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</si>
  <si>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</si>
  <si>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</si>
  <si>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</si>
  <si>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</si>
  <si>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</si>
  <si>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</si>
  <si>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</si>
  <si>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SUSCRIPTORES </t>
  </si>
  <si>
    <t>CABLEVISIÓN KATUETE (Hugo Hernán Rodríguez Páez)</t>
  </si>
  <si>
    <t>Cable Tres Fronteras S.A.</t>
  </si>
  <si>
    <t xml:space="preserve">TOTAL  SUSCRIPTORES </t>
  </si>
  <si>
    <t xml:space="preserve">TOTAL  INGRESOS </t>
  </si>
  <si>
    <t>Pendiente</t>
  </si>
  <si>
    <t xml:space="preserve">Internet </t>
  </si>
  <si>
    <t xml:space="preserve">Obs: Los valores que se encuentran en color rojo son estimaciones </t>
  </si>
  <si>
    <t>Referencias:</t>
  </si>
  <si>
    <t>C: COPACO S.A.</t>
  </si>
  <si>
    <t>N: NÚCLEO S.A. (Personal)</t>
  </si>
  <si>
    <t>A: AMX PARAGUAY S.A. (Claro)</t>
  </si>
  <si>
    <t>T: TELECEL S.A. (Tigo)</t>
  </si>
  <si>
    <t>H: HOLA PARAGUAY S.A. (Vox)</t>
  </si>
  <si>
    <t>I: INTERNACIONAL</t>
  </si>
  <si>
    <t>SAL: Tráfico saliente de la red</t>
  </si>
  <si>
    <t>ENT: Tráfico entrante de la red</t>
  </si>
  <si>
    <t>Penetración de Internet banda ancha fija*</t>
  </si>
  <si>
    <t>2017**</t>
  </si>
  <si>
    <t>*Suscripciones a banda ancha fija  / población x 100</t>
  </si>
  <si>
    <t>Penetración de Internet banda ancha móvil</t>
  </si>
  <si>
    <t>** Dato preliminar basado en estimaciones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</si>
</sst>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64" formatCode="#,##0.00&quot; &quot;;&quot;(&quot;#,##0.00&quot;)&quot;;&quot;-&quot;#&quot; &quot;;@&quot; &quot;"/>
    <numFmt numFmtId="165" formatCode="#,##0.00&quot;    &quot;;&quot;-&quot;#,##0.00&quot;    &quot;;&quot; -&quot;#&quot;    &quot;;@&quot; &quot;"/>
    <numFmt numFmtId="166" formatCode="[$$-409]#,##0.00;[Red]&quot;-&quot;[$$-409]#,##0.00"/>
    <numFmt numFmtId="167" formatCode="_ * #,##0_ ;_ * \-#,##0_ ;_ * &quot;-&quot;??_ ;_ @_ "/>
    <numFmt numFmtId="168" formatCode="_(* #,##0_);_(* \(#,##0\);_(* &quot;-&quot;??_);_(@_)"/>
    <numFmt numFmtId="169" formatCode="mm/yy"/>
    <numFmt numFmtId="170" formatCode="0.0%"/>
  </numFmts>
  <fonts count="40">
    <font>
      <sz val="11"/>
      <color theme="1"/>
      <name val="Calibri"/>
      <family val="2"/>
      <scheme val="minor"/>
    </font>
    <font>
      <sz val="11"/>
      <color rgb="FF000000"/>
      <name val="Arial1"/>
    </font>
    <font>
      <sz val="10"/>
      <name val="Arial1"/>
    </font>
    <font>
      <sz val="10"/>
      <name val="Arial"/>
      <family val="2"/>
    </font>
    <font>
      <b/>
      <sz val="11"/>
      <name val="Arial1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Arial1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Trebuchet MS"/>
      <family val="2"/>
    </font>
    <font>
      <b/>
      <sz val="14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color rgb="FFFF0000"/>
      <name val="Arial1"/>
    </font>
    <font>
      <sz val="10"/>
      <color theme="1"/>
      <name val="Arial"/>
      <family val="2"/>
    </font>
    <font>
      <sz val="10"/>
      <color theme="1"/>
      <name val="Arial1"/>
    </font>
    <font>
      <sz val="10.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70C0"/>
      <name val="Arial1"/>
    </font>
    <font>
      <sz val="10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333333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5">
    <xf numFmtId="0" fontId="0" fillId="0" borderId="0"/>
    <xf numFmtId="0" fontId="1" fillId="0" borderId="0" applyNumberFormat="0" applyFont="0" applyBorder="0" applyProtection="0"/>
    <xf numFmtId="164" fontId="1" fillId="0" borderId="0" applyFont="0" applyBorder="0" applyProtection="0"/>
    <xf numFmtId="0" fontId="1" fillId="0" borderId="0"/>
    <xf numFmtId="165" fontId="7" fillId="0" borderId="0" applyBorder="0" applyProtection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9" fillId="0" borderId="0" applyNumberFormat="0" applyBorder="0" applyProtection="0"/>
    <xf numFmtId="166" fontId="9" fillId="0" borderId="0" applyBorder="0" applyProtection="0"/>
    <xf numFmtId="43" fontId="1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3" fillId="0" borderId="0"/>
    <xf numFmtId="9" fontId="6" fillId="0" borderId="0" applyFont="0" applyFill="0" applyBorder="0" applyAlignment="0" applyProtection="0"/>
  </cellStyleXfs>
  <cellXfs count="301">
    <xf numFmtId="0" fontId="0" fillId="0" borderId="0" xfId="0"/>
    <xf numFmtId="3" fontId="0" fillId="0" borderId="0" xfId="0" applyNumberFormat="1"/>
    <xf numFmtId="0" fontId="0" fillId="0" borderId="0" xfId="0" applyFill="1"/>
    <xf numFmtId="0" fontId="2" fillId="0" borderId="1" xfId="0" applyFont="1" applyFill="1" applyBorder="1" applyAlignment="1"/>
    <xf numFmtId="0" fontId="3" fillId="0" borderId="1" xfId="0" applyFont="1" applyFill="1" applyBorder="1" applyAlignment="1">
      <alignment vertical="center"/>
    </xf>
    <xf numFmtId="41" fontId="5" fillId="0" borderId="1" xfId="10" applyFont="1" applyFill="1" applyBorder="1"/>
    <xf numFmtId="3" fontId="13" fillId="0" borderId="0" xfId="0" applyNumberFormat="1" applyFont="1" applyFill="1" applyBorder="1"/>
    <xf numFmtId="0" fontId="12" fillId="3" borderId="1" xfId="0" applyFont="1" applyFill="1" applyBorder="1" applyAlignment="1">
      <alignment vertical="center"/>
    </xf>
    <xf numFmtId="0" fontId="0" fillId="0" borderId="1" xfId="0" applyBorder="1"/>
    <xf numFmtId="3" fontId="13" fillId="0" borderId="1" xfId="0" applyNumberFormat="1" applyFont="1" applyFill="1" applyBorder="1"/>
    <xf numFmtId="41" fontId="0" fillId="0" borderId="1" xfId="10" applyFont="1" applyFill="1" applyBorder="1"/>
    <xf numFmtId="41" fontId="0" fillId="0" borderId="1" xfId="10" applyFont="1" applyBorder="1"/>
    <xf numFmtId="0" fontId="11" fillId="4" borderId="1" xfId="0" applyFont="1" applyFill="1" applyBorder="1" applyAlignment="1">
      <alignment vertical="center"/>
    </xf>
    <xf numFmtId="0" fontId="0" fillId="2" borderId="1" xfId="0" applyFill="1" applyBorder="1"/>
    <xf numFmtId="0" fontId="10" fillId="2" borderId="1" xfId="0" applyFont="1" applyFill="1" applyBorder="1"/>
    <xf numFmtId="0" fontId="0" fillId="0" borderId="1" xfId="0" applyFill="1" applyBorder="1"/>
    <xf numFmtId="3" fontId="13" fillId="2" borderId="1" xfId="0" applyNumberFormat="1" applyFont="1" applyFill="1" applyBorder="1"/>
    <xf numFmtId="3" fontId="14" fillId="2" borderId="1" xfId="0" applyNumberFormat="1" applyFont="1" applyFill="1" applyBorder="1"/>
    <xf numFmtId="41" fontId="10" fillId="2" borderId="1" xfId="10" applyFont="1" applyFill="1" applyBorder="1"/>
    <xf numFmtId="0" fontId="0" fillId="0" borderId="1" xfId="0" applyBorder="1" applyAlignment="1">
      <alignment horizontal="left" vertical="center"/>
    </xf>
    <xf numFmtId="3" fontId="10" fillId="2" borderId="5" xfId="0" applyNumberFormat="1" applyFont="1" applyFill="1" applyBorder="1"/>
    <xf numFmtId="3" fontId="0" fillId="0" borderId="0" xfId="0" applyNumberFormat="1" applyFill="1" applyAlignment="1"/>
    <xf numFmtId="0" fontId="0" fillId="0" borderId="0" xfId="0" applyFill="1" applyAlignment="1"/>
    <xf numFmtId="0" fontId="0" fillId="0" borderId="14" xfId="0" applyFill="1" applyBorder="1" applyAlignment="1"/>
    <xf numFmtId="3" fontId="15" fillId="0" borderId="13" xfId="0" applyNumberFormat="1" applyFont="1" applyFill="1" applyBorder="1" applyAlignment="1"/>
    <xf numFmtId="0" fontId="0" fillId="0" borderId="7" xfId="0" applyFill="1" applyBorder="1" applyAlignment="1"/>
    <xf numFmtId="3" fontId="15" fillId="0" borderId="8" xfId="0" applyNumberFormat="1" applyFont="1" applyFill="1" applyBorder="1" applyAlignment="1"/>
    <xf numFmtId="0" fontId="0" fillId="0" borderId="9" xfId="0" applyFill="1" applyBorder="1" applyAlignment="1"/>
    <xf numFmtId="3" fontId="15" fillId="0" borderId="10" xfId="0" applyNumberFormat="1" applyFont="1" applyFill="1" applyBorder="1" applyAlignment="1"/>
    <xf numFmtId="3" fontId="19" fillId="0" borderId="1" xfId="0" applyNumberFormat="1" applyFont="1" applyFill="1" applyBorder="1" applyAlignment="1"/>
    <xf numFmtId="3" fontId="15" fillId="0" borderId="1" xfId="0" applyNumberFormat="1" applyFont="1" applyFill="1" applyBorder="1" applyAlignment="1"/>
    <xf numFmtId="0" fontId="19" fillId="0" borderId="1" xfId="0" applyFont="1" applyFill="1" applyBorder="1" applyAlignment="1"/>
    <xf numFmtId="0" fontId="0" fillId="0" borderId="0" xfId="0" applyFill="1" applyAlignment="1">
      <alignment vertical="center"/>
    </xf>
    <xf numFmtId="0" fontId="11" fillId="0" borderId="11" xfId="0" applyFont="1" applyFill="1" applyBorder="1" applyAlignment="1">
      <alignment horizontal="left" vertical="center"/>
    </xf>
    <xf numFmtId="0" fontId="17" fillId="0" borderId="12" xfId="0" applyFont="1" applyFill="1" applyBorder="1" applyAlignment="1"/>
    <xf numFmtId="0" fontId="17" fillId="0" borderId="14" xfId="0" applyFont="1" applyFill="1" applyBorder="1" applyAlignment="1"/>
    <xf numFmtId="3" fontId="17" fillId="0" borderId="13" xfId="0" applyNumberFormat="1" applyFont="1" applyFill="1" applyBorder="1" applyAlignment="1"/>
    <xf numFmtId="41" fontId="0" fillId="0" borderId="0" xfId="0" applyNumberFormat="1"/>
    <xf numFmtId="3" fontId="0" fillId="0" borderId="0" xfId="0" applyNumberFormat="1" applyFill="1"/>
    <xf numFmtId="0" fontId="17" fillId="2" borderId="1" xfId="0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3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vertical="center"/>
    </xf>
    <xf numFmtId="17" fontId="10" fillId="2" borderId="2" xfId="0" applyNumberFormat="1" applyFont="1" applyFill="1" applyBorder="1" applyAlignment="1">
      <alignment horizontal="center" vertical="center"/>
    </xf>
    <xf numFmtId="17" fontId="10" fillId="2" borderId="15" xfId="0" applyNumberFormat="1" applyFont="1" applyFill="1" applyBorder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/>
    </xf>
    <xf numFmtId="41" fontId="2" fillId="0" borderId="1" xfId="10" applyFont="1" applyFill="1" applyBorder="1"/>
    <xf numFmtId="3" fontId="3" fillId="0" borderId="1" xfId="0" applyNumberFormat="1" applyFont="1" applyFill="1" applyBorder="1"/>
    <xf numFmtId="0" fontId="0" fillId="0" borderId="0" xfId="0" applyFill="1" applyBorder="1"/>
    <xf numFmtId="0" fontId="12" fillId="2" borderId="1" xfId="11" applyNumberFormat="1" applyFont="1" applyFill="1" applyBorder="1" applyAlignment="1" applyProtection="1"/>
    <xf numFmtId="0" fontId="12" fillId="2" borderId="1" xfId="11" applyNumberFormat="1" applyFont="1" applyFill="1" applyBorder="1" applyAlignment="1" applyProtection="1">
      <alignment horizontal="center" wrapText="1"/>
    </xf>
    <xf numFmtId="17" fontId="12" fillId="2" borderId="1" xfId="0" applyNumberFormat="1" applyFont="1" applyFill="1" applyBorder="1" applyProtection="1"/>
    <xf numFmtId="41" fontId="0" fillId="0" borderId="1" xfId="10" applyFont="1" applyFill="1" applyBorder="1" applyAlignment="1" applyProtection="1"/>
    <xf numFmtId="17" fontId="0" fillId="2" borderId="1" xfId="0" applyNumberFormat="1" applyFont="1" applyFill="1" applyBorder="1" applyProtection="1"/>
    <xf numFmtId="41" fontId="0" fillId="0" borderId="1" xfId="10" applyFont="1" applyFill="1" applyBorder="1" applyAlignment="1" applyProtection="1">
      <protection locked="0"/>
    </xf>
    <xf numFmtId="41" fontId="0" fillId="0" borderId="1" xfId="10" applyFont="1" applyFill="1" applyBorder="1" applyAlignment="1"/>
    <xf numFmtId="41" fontId="3" fillId="0" borderId="1" xfId="10" applyFont="1" applyFill="1" applyBorder="1" applyAlignment="1" applyProtection="1"/>
    <xf numFmtId="0" fontId="0" fillId="0" borderId="0" xfId="0" applyFont="1" applyBorder="1" applyProtection="1"/>
    <xf numFmtId="41" fontId="2" fillId="0" borderId="4" xfId="10" applyFont="1" applyFill="1" applyBorder="1"/>
    <xf numFmtId="41" fontId="0" fillId="0" borderId="3" xfId="10" applyFont="1" applyFill="1" applyBorder="1" applyAlignment="1" applyProtection="1"/>
    <xf numFmtId="41" fontId="0" fillId="0" borderId="3" xfId="10" applyFont="1" applyFill="1" applyBorder="1" applyAlignment="1"/>
    <xf numFmtId="17" fontId="0" fillId="2" borderId="6" xfId="0" applyNumberFormat="1" applyFont="1" applyFill="1" applyBorder="1" applyProtection="1"/>
    <xf numFmtId="41" fontId="0" fillId="0" borderId="6" xfId="10" applyFont="1" applyFill="1" applyBorder="1" applyAlignment="1"/>
    <xf numFmtId="41" fontId="0" fillId="0" borderId="6" xfId="10" applyFont="1" applyFill="1" applyBorder="1" applyAlignment="1" applyProtection="1"/>
    <xf numFmtId="0" fontId="0" fillId="0" borderId="1" xfId="0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41" fontId="2" fillId="0" borderId="1" xfId="10" applyFont="1" applyFill="1" applyBorder="1" applyAlignment="1">
      <alignment horizontal="right"/>
    </xf>
    <xf numFmtId="167" fontId="28" fillId="0" borderId="1" xfId="12" applyNumberFormat="1" applyFont="1" applyFill="1" applyBorder="1" applyAlignment="1">
      <alignment wrapText="1"/>
    </xf>
    <xf numFmtId="0" fontId="0" fillId="0" borderId="0" xfId="0" applyBorder="1"/>
    <xf numFmtId="167" fontId="0" fillId="0" borderId="0" xfId="0" applyNumberFormat="1"/>
    <xf numFmtId="17" fontId="10" fillId="2" borderId="24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left" vertical="center"/>
    </xf>
    <xf numFmtId="0" fontId="0" fillId="5" borderId="0" xfId="0" applyFill="1"/>
    <xf numFmtId="49" fontId="15" fillId="2" borderId="1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left" vertical="center"/>
    </xf>
    <xf numFmtId="3" fontId="0" fillId="0" borderId="0" xfId="0" applyNumberFormat="1" applyBorder="1" applyAlignment="1">
      <alignment horizontal="right"/>
    </xf>
    <xf numFmtId="3" fontId="0" fillId="0" borderId="0" xfId="0" applyNumberFormat="1" applyBorder="1"/>
    <xf numFmtId="3" fontId="13" fillId="0" borderId="0" xfId="0" applyNumberFormat="1" applyFont="1" applyFill="1" applyBorder="1" applyAlignment="1">
      <alignment horizontal="right"/>
    </xf>
    <xf numFmtId="3" fontId="0" fillId="0" borderId="1" xfId="0" applyNumberFormat="1" applyBorder="1" applyAlignment="1">
      <alignment wrapText="1"/>
    </xf>
    <xf numFmtId="167" fontId="28" fillId="0" borderId="0" xfId="12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0" fillId="0" borderId="0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wrapText="1"/>
    </xf>
    <xf numFmtId="167" fontId="0" fillId="0" borderId="0" xfId="0" applyNumberFormat="1" applyFill="1" applyBorder="1"/>
    <xf numFmtId="0" fontId="10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wrapText="1"/>
    </xf>
    <xf numFmtId="168" fontId="0" fillId="0" borderId="1" xfId="12" applyNumberFormat="1" applyFont="1" applyFill="1" applyBorder="1"/>
    <xf numFmtId="168" fontId="0" fillId="0" borderId="16" xfId="12" applyNumberFormat="1" applyFont="1" applyFill="1" applyBorder="1"/>
    <xf numFmtId="41" fontId="0" fillId="0" borderId="0" xfId="0" applyNumberFormat="1" applyBorder="1"/>
    <xf numFmtId="17" fontId="0" fillId="2" borderId="3" xfId="0" applyNumberFormat="1" applyFont="1" applyFill="1" applyBorder="1" applyProtection="1"/>
    <xf numFmtId="41" fontId="31" fillId="0" borderId="25" xfId="10" applyFont="1" applyBorder="1" applyAlignment="1">
      <alignment horizontal="center" wrapText="1"/>
    </xf>
    <xf numFmtId="41" fontId="31" fillId="0" borderId="26" xfId="10" applyFont="1" applyBorder="1" applyAlignment="1">
      <alignment horizontal="center" wrapText="1"/>
    </xf>
    <xf numFmtId="41" fontId="0" fillId="0" borderId="4" xfId="10" applyFont="1" applyBorder="1"/>
    <xf numFmtId="3" fontId="0" fillId="5" borderId="1" xfId="0" applyNumberFormat="1" applyFill="1" applyBorder="1" applyAlignment="1">
      <alignment horizontal="right"/>
    </xf>
    <xf numFmtId="3" fontId="0" fillId="5" borderId="4" xfId="0" applyNumberFormat="1" applyFill="1" applyBorder="1" applyAlignment="1">
      <alignment horizontal="right"/>
    </xf>
    <xf numFmtId="168" fontId="0" fillId="0" borderId="4" xfId="12" applyNumberFormat="1" applyFont="1" applyFill="1" applyBorder="1"/>
    <xf numFmtId="168" fontId="0" fillId="0" borderId="27" xfId="12" applyNumberFormat="1" applyFont="1" applyFill="1" applyBorder="1"/>
    <xf numFmtId="167" fontId="28" fillId="0" borderId="3" xfId="12" applyNumberFormat="1" applyFont="1" applyFill="1" applyBorder="1" applyAlignment="1">
      <alignment wrapText="1"/>
    </xf>
    <xf numFmtId="3" fontId="0" fillId="0" borderId="3" xfId="0" applyNumberFormat="1" applyBorder="1" applyAlignment="1">
      <alignment wrapText="1"/>
    </xf>
    <xf numFmtId="3" fontId="10" fillId="2" borderId="2" xfId="0" applyNumberFormat="1" applyFont="1" applyFill="1" applyBorder="1" applyAlignment="1">
      <alignment horizontal="right"/>
    </xf>
    <xf numFmtId="3" fontId="10" fillId="2" borderId="15" xfId="0" applyNumberFormat="1" applyFont="1" applyFill="1" applyBorder="1" applyAlignment="1">
      <alignment horizontal="right"/>
    </xf>
    <xf numFmtId="3" fontId="10" fillId="2" borderId="28" xfId="0" applyNumberFormat="1" applyFont="1" applyFill="1" applyBorder="1"/>
    <xf numFmtId="167" fontId="28" fillId="0" borderId="4" xfId="12" applyNumberFormat="1" applyFont="1" applyFill="1" applyBorder="1" applyAlignment="1">
      <alignment wrapText="1"/>
    </xf>
    <xf numFmtId="3" fontId="0" fillId="0" borderId="4" xfId="0" applyNumberFormat="1" applyBorder="1" applyAlignment="1">
      <alignment wrapText="1"/>
    </xf>
    <xf numFmtId="41" fontId="31" fillId="0" borderId="29" xfId="10" applyFont="1" applyBorder="1" applyAlignment="1">
      <alignment horizontal="center" wrapText="1"/>
    </xf>
    <xf numFmtId="41" fontId="31" fillId="0" borderId="20" xfId="10" applyFont="1" applyBorder="1" applyAlignment="1">
      <alignment horizontal="center" wrapText="1"/>
    </xf>
    <xf numFmtId="3" fontId="0" fillId="5" borderId="16" xfId="0" applyNumberFormat="1" applyFill="1" applyBorder="1" applyAlignment="1">
      <alignment horizontal="right"/>
    </xf>
    <xf numFmtId="3" fontId="0" fillId="0" borderId="30" xfId="0" applyNumberFormat="1" applyBorder="1" applyAlignment="1">
      <alignment wrapText="1"/>
    </xf>
    <xf numFmtId="3" fontId="0" fillId="0" borderId="16" xfId="0" applyNumberFormat="1" applyBorder="1" applyAlignment="1">
      <alignment wrapText="1"/>
    </xf>
    <xf numFmtId="3" fontId="0" fillId="0" borderId="27" xfId="0" applyNumberFormat="1" applyBorder="1" applyAlignment="1">
      <alignment wrapText="1"/>
    </xf>
    <xf numFmtId="0" fontId="10" fillId="2" borderId="17" xfId="0" applyFont="1" applyFill="1" applyBorder="1" applyAlignment="1">
      <alignment horizontal="center" vertical="center" wrapText="1"/>
    </xf>
    <xf numFmtId="3" fontId="0" fillId="5" borderId="32" xfId="0" applyNumberFormat="1" applyFill="1" applyBorder="1" applyAlignment="1">
      <alignment horizontal="right"/>
    </xf>
    <xf numFmtId="3" fontId="0" fillId="5" borderId="33" xfId="0" applyNumberFormat="1" applyFill="1" applyBorder="1" applyAlignment="1">
      <alignment horizontal="right"/>
    </xf>
    <xf numFmtId="41" fontId="0" fillId="0" borderId="32" xfId="10" applyFont="1" applyBorder="1"/>
    <xf numFmtId="41" fontId="0" fillId="0" borderId="33" xfId="10" applyFont="1" applyBorder="1"/>
    <xf numFmtId="3" fontId="10" fillId="2" borderId="24" xfId="0" applyNumberFormat="1" applyFont="1" applyFill="1" applyBorder="1" applyAlignment="1">
      <alignment horizontal="right"/>
    </xf>
    <xf numFmtId="167" fontId="28" fillId="0" borderId="25" xfId="12" applyNumberFormat="1" applyFont="1" applyFill="1" applyBorder="1" applyAlignment="1">
      <alignment wrapText="1"/>
    </xf>
    <xf numFmtId="167" fontId="28" fillId="0" borderId="32" xfId="12" applyNumberFormat="1" applyFont="1" applyFill="1" applyBorder="1" applyAlignment="1">
      <alignment wrapText="1"/>
    </xf>
    <xf numFmtId="167" fontId="28" fillId="0" borderId="33" xfId="12" applyNumberFormat="1" applyFont="1" applyFill="1" applyBorder="1" applyAlignment="1">
      <alignment wrapText="1"/>
    </xf>
    <xf numFmtId="0" fontId="10" fillId="2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41" fontId="0" fillId="0" borderId="1" xfId="10" applyFont="1" applyFill="1" applyBorder="1" applyAlignment="1">
      <alignment horizontal="right"/>
    </xf>
    <xf numFmtId="17" fontId="0" fillId="2" borderId="4" xfId="0" applyNumberFormat="1" applyFont="1" applyFill="1" applyBorder="1" applyProtection="1"/>
    <xf numFmtId="41" fontId="0" fillId="0" borderId="4" xfId="10" applyFont="1" applyFill="1" applyBorder="1" applyAlignment="1" applyProtection="1"/>
    <xf numFmtId="41" fontId="0" fillId="0" borderId="4" xfId="10" applyFont="1" applyFill="1" applyBorder="1" applyAlignment="1"/>
    <xf numFmtId="41" fontId="0" fillId="2" borderId="3" xfId="10" applyFont="1" applyFill="1" applyBorder="1" applyAlignment="1" applyProtection="1"/>
    <xf numFmtId="41" fontId="25" fillId="0" borderId="1" xfId="10" applyFont="1" applyFill="1" applyBorder="1" applyAlignment="1">
      <alignment horizontal="right"/>
    </xf>
    <xf numFmtId="41" fontId="5" fillId="0" borderId="1" xfId="10" applyFont="1" applyFill="1" applyBorder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41" fontId="10" fillId="2" borderId="1" xfId="10" applyFont="1" applyFill="1" applyBorder="1" applyAlignment="1">
      <alignment horizontal="left" wrapText="1"/>
    </xf>
    <xf numFmtId="41" fontId="0" fillId="0" borderId="6" xfId="10" applyFont="1" applyBorder="1"/>
    <xf numFmtId="41" fontId="0" fillId="2" borderId="6" xfId="10" applyFont="1" applyFill="1" applyBorder="1" applyAlignment="1" applyProtection="1"/>
    <xf numFmtId="41" fontId="3" fillId="0" borderId="6" xfId="10" applyFont="1" applyFill="1" applyBorder="1" applyAlignment="1" applyProtection="1"/>
    <xf numFmtId="41" fontId="0" fillId="0" borderId="6" xfId="10" applyFont="1" applyFill="1" applyBorder="1" applyAlignment="1" applyProtection="1">
      <protection locked="0"/>
    </xf>
    <xf numFmtId="41" fontId="0" fillId="0" borderId="3" xfId="10" applyFont="1" applyFill="1" applyBorder="1" applyAlignment="1" applyProtection="1">
      <protection locked="0"/>
    </xf>
    <xf numFmtId="41" fontId="0" fillId="0" borderId="1" xfId="10" applyFont="1" applyFill="1" applyBorder="1" applyAlignment="1">
      <alignment horizontal="center"/>
    </xf>
    <xf numFmtId="3" fontId="19" fillId="0" borderId="1" xfId="0" applyNumberFormat="1" applyFont="1" applyFill="1" applyBorder="1" applyAlignment="1">
      <alignment horizontal="center"/>
    </xf>
    <xf numFmtId="3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0" fillId="0" borderId="0" xfId="0" applyFill="1" applyBorder="1" applyAlignment="1"/>
    <xf numFmtId="3" fontId="19" fillId="5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32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0" fillId="0" borderId="16" xfId="0" applyNumberFormat="1" applyFill="1" applyBorder="1" applyAlignment="1">
      <alignment horizontal="right"/>
    </xf>
    <xf numFmtId="169" fontId="0" fillId="0" borderId="3" xfId="13" applyNumberFormat="1" applyFont="1" applyFill="1" applyBorder="1" applyAlignment="1" applyProtection="1"/>
    <xf numFmtId="41" fontId="5" fillId="0" borderId="3" xfId="10" applyFont="1" applyFill="1" applyBorder="1"/>
    <xf numFmtId="169" fontId="0" fillId="0" borderId="1" xfId="13" applyNumberFormat="1" applyFont="1" applyFill="1" applyBorder="1" applyAlignment="1" applyProtection="1"/>
    <xf numFmtId="169" fontId="0" fillId="0" borderId="4" xfId="13" applyNumberFormat="1" applyFont="1" applyFill="1" applyBorder="1" applyAlignment="1" applyProtection="1"/>
    <xf numFmtId="169" fontId="0" fillId="0" borderId="6" xfId="13" applyNumberFormat="1" applyFont="1" applyFill="1" applyBorder="1" applyAlignment="1" applyProtection="1"/>
    <xf numFmtId="41" fontId="5" fillId="0" borderId="6" xfId="10" applyFont="1" applyFill="1" applyBorder="1"/>
    <xf numFmtId="0" fontId="33" fillId="6" borderId="39" xfId="0" applyFont="1" applyFill="1" applyBorder="1"/>
    <xf numFmtId="0" fontId="33" fillId="6" borderId="40" xfId="0" applyFont="1" applyFill="1" applyBorder="1"/>
    <xf numFmtId="0" fontId="33" fillId="6" borderId="6" xfId="0" applyFont="1" applyFill="1" applyBorder="1" applyAlignment="1">
      <alignment horizontal="center" vertical="center"/>
    </xf>
    <xf numFmtId="0" fontId="33" fillId="6" borderId="42" xfId="0" applyFont="1" applyFill="1" applyBorder="1" applyAlignment="1">
      <alignment horizontal="center" vertical="center"/>
    </xf>
    <xf numFmtId="41" fontId="0" fillId="0" borderId="3" xfId="10" applyFont="1" applyBorder="1"/>
    <xf numFmtId="41" fontId="5" fillId="2" borderId="3" xfId="10" applyFont="1" applyFill="1" applyBorder="1"/>
    <xf numFmtId="41" fontId="5" fillId="2" borderId="1" xfId="10" applyFont="1" applyFill="1" applyBorder="1"/>
    <xf numFmtId="41" fontId="5" fillId="2" borderId="6" xfId="10" applyFont="1" applyFill="1" applyBorder="1"/>
    <xf numFmtId="41" fontId="0" fillId="0" borderId="3" xfId="10" applyFont="1" applyFill="1" applyBorder="1"/>
    <xf numFmtId="41" fontId="0" fillId="0" borderId="6" xfId="10" applyFont="1" applyFill="1" applyBorder="1"/>
    <xf numFmtId="0" fontId="33" fillId="2" borderId="6" xfId="0" applyFont="1" applyFill="1" applyBorder="1" applyAlignment="1">
      <alignment horizontal="center" vertical="center"/>
    </xf>
    <xf numFmtId="0" fontId="33" fillId="2" borderId="42" xfId="0" applyFont="1" applyFill="1" applyBorder="1" applyAlignment="1">
      <alignment horizontal="center" vertical="center"/>
    </xf>
    <xf numFmtId="3" fontId="0" fillId="0" borderId="1" xfId="0" applyNumberFormat="1" applyFont="1" applyBorder="1"/>
    <xf numFmtId="0" fontId="10" fillId="0" borderId="0" xfId="0" applyFont="1" applyFill="1" applyBorder="1"/>
    <xf numFmtId="0" fontId="4" fillId="0" borderId="0" xfId="0" applyFont="1" applyFill="1" applyBorder="1" applyAlignment="1">
      <alignment vertical="center"/>
    </xf>
    <xf numFmtId="17" fontId="4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17" fontId="4" fillId="2" borderId="1" xfId="0" applyNumberFormat="1" applyFont="1" applyFill="1" applyBorder="1" applyAlignment="1">
      <alignment horizontal="left" vertical="center"/>
    </xf>
    <xf numFmtId="41" fontId="0" fillId="0" borderId="1" xfId="1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1" fontId="2" fillId="2" borderId="1" xfId="10" applyFont="1" applyFill="1" applyBorder="1" applyAlignment="1"/>
    <xf numFmtId="0" fontId="0" fillId="0" borderId="1" xfId="0" applyFill="1" applyBorder="1" applyAlignment="1">
      <alignment horizontal="left"/>
    </xf>
    <xf numFmtId="41" fontId="2" fillId="2" borderId="1" xfId="10" applyFont="1" applyFill="1" applyBorder="1"/>
    <xf numFmtId="41" fontId="2" fillId="0" borderId="1" xfId="10" applyFont="1" applyFill="1" applyBorder="1" applyAlignment="1">
      <alignment horizontal="center"/>
    </xf>
    <xf numFmtId="41" fontId="2" fillId="2" borderId="1" xfId="10" applyFont="1" applyFill="1" applyBorder="1" applyAlignment="1">
      <alignment horizontal="right"/>
    </xf>
    <xf numFmtId="3" fontId="0" fillId="0" borderId="1" xfId="0" applyNumberFormat="1" applyBorder="1"/>
    <xf numFmtId="41" fontId="5" fillId="0" borderId="1" xfId="10" applyFont="1" applyFill="1" applyBorder="1" applyAlignment="1">
      <alignment horizontal="center"/>
    </xf>
    <xf numFmtId="41" fontId="3" fillId="2" borderId="1" xfId="10" applyFont="1" applyFill="1" applyBorder="1" applyAlignment="1">
      <alignment vertical="center"/>
    </xf>
    <xf numFmtId="41" fontId="3" fillId="0" borderId="1" xfId="10" applyFont="1" applyFill="1" applyBorder="1" applyAlignment="1">
      <alignment vertical="center"/>
    </xf>
    <xf numFmtId="41" fontId="3" fillId="0" borderId="1" xfId="1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41" fontId="27" fillId="2" borderId="1" xfId="10" applyFont="1" applyFill="1" applyBorder="1" applyAlignment="1"/>
    <xf numFmtId="41" fontId="27" fillId="0" borderId="1" xfId="10" applyFont="1" applyFill="1" applyBorder="1" applyAlignment="1">
      <alignment horizontal="center"/>
    </xf>
    <xf numFmtId="41" fontId="2" fillId="0" borderId="1" xfId="10" applyFont="1" applyFill="1" applyBorder="1" applyAlignment="1"/>
    <xf numFmtId="41" fontId="0" fillId="2" borderId="1" xfId="10" applyFont="1" applyFill="1" applyBorder="1"/>
    <xf numFmtId="41" fontId="27" fillId="0" borderId="1" xfId="10" applyFont="1" applyFill="1" applyBorder="1" applyAlignment="1"/>
    <xf numFmtId="0" fontId="5" fillId="0" borderId="1" xfId="0" applyFont="1" applyFill="1" applyBorder="1" applyAlignment="1" applyProtection="1">
      <alignment horizontal="left"/>
      <protection locked="0"/>
    </xf>
    <xf numFmtId="41" fontId="24" fillId="0" borderId="1" xfId="10" applyFont="1" applyFill="1" applyBorder="1"/>
    <xf numFmtId="41" fontId="27" fillId="2" borderId="1" xfId="10" applyFont="1" applyFill="1" applyBorder="1" applyAlignment="1">
      <alignment horizontal="right"/>
    </xf>
    <xf numFmtId="41" fontId="25" fillId="0" borderId="1" xfId="10" applyFont="1" applyFill="1" applyBorder="1" applyAlignment="1"/>
    <xf numFmtId="41" fontId="36" fillId="2" borderId="1" xfId="10" applyFont="1" applyFill="1" applyBorder="1" applyAlignment="1">
      <alignment horizontal="right"/>
    </xf>
    <xf numFmtId="41" fontId="25" fillId="0" borderId="1" xfId="10" applyFont="1" applyFill="1" applyBorder="1"/>
    <xf numFmtId="41" fontId="5" fillId="0" borderId="1" xfId="10" applyFont="1" applyFill="1" applyBorder="1" applyAlignment="1">
      <alignment horizontal="left"/>
    </xf>
    <xf numFmtId="0" fontId="26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41" fontId="10" fillId="2" borderId="43" xfId="10" applyFont="1" applyFill="1" applyBorder="1"/>
    <xf numFmtId="41" fontId="33" fillId="2" borderId="47" xfId="10" applyFont="1" applyFill="1" applyBorder="1" applyAlignment="1">
      <alignment horizontal="right"/>
    </xf>
    <xf numFmtId="41" fontId="10" fillId="2" borderId="2" xfId="10" applyFont="1" applyFill="1" applyBorder="1"/>
    <xf numFmtId="41" fontId="10" fillId="2" borderId="15" xfId="10" applyFont="1" applyFill="1" applyBorder="1"/>
    <xf numFmtId="41" fontId="10" fillId="2" borderId="50" xfId="10" applyFont="1" applyFill="1" applyBorder="1"/>
    <xf numFmtId="41" fontId="10" fillId="2" borderId="22" xfId="10" applyFont="1" applyFill="1" applyBorder="1"/>
    <xf numFmtId="41" fontId="5" fillId="0" borderId="4" xfId="10" applyFont="1" applyFill="1" applyBorder="1"/>
    <xf numFmtId="0" fontId="33" fillId="2" borderId="48" xfId="0" applyFont="1" applyFill="1" applyBorder="1"/>
    <xf numFmtId="0" fontId="33" fillId="2" borderId="49" xfId="0" applyFont="1" applyFill="1" applyBorder="1"/>
    <xf numFmtId="0" fontId="33" fillId="2" borderId="47" xfId="0" applyFont="1" applyFill="1" applyBorder="1"/>
    <xf numFmtId="41" fontId="33" fillId="2" borderId="50" xfId="10" applyFont="1" applyFill="1" applyBorder="1"/>
    <xf numFmtId="41" fontId="33" fillId="2" borderId="2" xfId="10" applyFont="1" applyFill="1" applyBorder="1"/>
    <xf numFmtId="41" fontId="33" fillId="2" borderId="15" xfId="10" applyFont="1" applyFill="1" applyBorder="1"/>
    <xf numFmtId="0" fontId="37" fillId="0" borderId="4" xfId="0" applyFont="1" applyBorder="1" applyAlignment="1">
      <alignment horizontal="right" vertical="center" wrapText="1"/>
    </xf>
    <xf numFmtId="41" fontId="10" fillId="2" borderId="48" xfId="10" applyFont="1" applyFill="1" applyBorder="1"/>
    <xf numFmtId="41" fontId="10" fillId="2" borderId="49" xfId="10" applyFont="1" applyFill="1" applyBorder="1"/>
    <xf numFmtId="41" fontId="10" fillId="2" borderId="47" xfId="10" applyFont="1" applyFill="1" applyBorder="1"/>
    <xf numFmtId="17" fontId="33" fillId="2" borderId="1" xfId="0" applyNumberFormat="1" applyFont="1" applyFill="1" applyBorder="1" applyAlignment="1">
      <alignment horizontal="center" vertical="center"/>
    </xf>
    <xf numFmtId="41" fontId="0" fillId="0" borderId="4" xfId="10" applyFont="1" applyFill="1" applyBorder="1" applyAlignment="1">
      <alignment horizontal="right"/>
    </xf>
    <xf numFmtId="41" fontId="10" fillId="2" borderId="23" xfId="10" applyFont="1" applyFill="1" applyBorder="1"/>
    <xf numFmtId="0" fontId="0" fillId="0" borderId="1" xfId="0" applyBorder="1" applyAlignment="1">
      <alignment horizontal="center"/>
    </xf>
    <xf numFmtId="41" fontId="2" fillId="2" borderId="4" xfId="10" applyFont="1" applyFill="1" applyBorder="1"/>
    <xf numFmtId="0" fontId="12" fillId="2" borderId="1" xfId="0" applyFont="1" applyFill="1" applyBorder="1" applyAlignment="1" applyProtection="1">
      <alignment horizontal="center"/>
    </xf>
    <xf numFmtId="41" fontId="0" fillId="0" borderId="1" xfId="10" applyFont="1" applyFill="1" applyBorder="1" applyAlignment="1" applyProtection="1">
      <alignment horizontal="center"/>
      <protection locked="0"/>
    </xf>
    <xf numFmtId="41" fontId="0" fillId="0" borderId="1" xfId="10" applyFont="1" applyFill="1" applyBorder="1" applyAlignment="1" applyProtection="1">
      <alignment horizontal="center"/>
    </xf>
    <xf numFmtId="0" fontId="12" fillId="2" borderId="1" xfId="11" applyNumberFormat="1" applyFont="1" applyFill="1" applyBorder="1" applyAlignment="1" applyProtection="1">
      <alignment horizontal="center" vertical="center" wrapText="1"/>
    </xf>
    <xf numFmtId="0" fontId="12" fillId="2" borderId="1" xfId="11" applyNumberFormat="1" applyFont="1" applyFill="1" applyBorder="1" applyAlignment="1" applyProtection="1">
      <alignment horizontal="center" wrapText="1"/>
    </xf>
    <xf numFmtId="41" fontId="0" fillId="0" borderId="6" xfId="10" applyFont="1" applyFill="1" applyBorder="1" applyAlignment="1" applyProtection="1">
      <alignment horizontal="center"/>
      <protection locked="0"/>
    </xf>
    <xf numFmtId="41" fontId="0" fillId="0" borderId="6" xfId="10" applyFont="1" applyFill="1" applyBorder="1" applyAlignment="1" applyProtection="1">
      <alignment horizontal="center"/>
    </xf>
    <xf numFmtId="41" fontId="0" fillId="0" borderId="3" xfId="10" applyFont="1" applyFill="1" applyBorder="1" applyAlignment="1" applyProtection="1">
      <alignment horizontal="center"/>
      <protection locked="0"/>
    </xf>
    <xf numFmtId="41" fontId="0" fillId="0" borderId="1" xfId="10" applyFont="1" applyFill="1" applyBorder="1" applyAlignment="1">
      <alignment horizontal="center"/>
    </xf>
    <xf numFmtId="41" fontId="0" fillId="0" borderId="3" xfId="10" applyFont="1" applyFill="1" applyBorder="1" applyAlignment="1">
      <alignment horizontal="center"/>
    </xf>
    <xf numFmtId="41" fontId="0" fillId="0" borderId="6" xfId="10" applyFont="1" applyFill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6" borderId="38" xfId="0" applyFont="1" applyFill="1" applyBorder="1" applyAlignment="1">
      <alignment horizontal="center" vertical="center" wrapText="1"/>
    </xf>
    <xf numFmtId="0" fontId="33" fillId="6" borderId="41" xfId="0" applyFont="1" applyFill="1" applyBorder="1" applyAlignment="1">
      <alignment horizontal="center" vertical="center" wrapText="1"/>
    </xf>
    <xf numFmtId="0" fontId="33" fillId="6" borderId="39" xfId="0" applyFont="1" applyFill="1" applyBorder="1" applyAlignment="1">
      <alignment horizontal="center" vertical="center"/>
    </xf>
    <xf numFmtId="0" fontId="33" fillId="6" borderId="6" xfId="0" applyFont="1" applyFill="1" applyBorder="1" applyAlignment="1">
      <alignment horizontal="center" vertical="center"/>
    </xf>
    <xf numFmtId="0" fontId="33" fillId="6" borderId="39" xfId="0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5" fillId="6" borderId="44" xfId="0" applyFont="1" applyFill="1" applyBorder="1" applyAlignment="1">
      <alignment horizontal="center"/>
    </xf>
    <xf numFmtId="0" fontId="35" fillId="6" borderId="45" xfId="0" applyFont="1" applyFill="1" applyBorder="1" applyAlignment="1">
      <alignment horizontal="center"/>
    </xf>
    <xf numFmtId="0" fontId="35" fillId="6" borderId="46" xfId="0" applyFont="1" applyFill="1" applyBorder="1" applyAlignment="1">
      <alignment horizontal="center"/>
    </xf>
    <xf numFmtId="0" fontId="33" fillId="2" borderId="38" xfId="0" applyFont="1" applyFill="1" applyBorder="1" applyAlignment="1">
      <alignment horizontal="center" vertical="center" wrapText="1"/>
    </xf>
    <xf numFmtId="0" fontId="33" fillId="2" borderId="41" xfId="0" applyFont="1" applyFill="1" applyBorder="1" applyAlignment="1">
      <alignment horizontal="center" vertical="center" wrapText="1"/>
    </xf>
    <xf numFmtId="0" fontId="33" fillId="2" borderId="39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35" fillId="2" borderId="44" xfId="0" applyFont="1" applyFill="1" applyBorder="1" applyAlignment="1">
      <alignment horizontal="center"/>
    </xf>
    <xf numFmtId="0" fontId="35" fillId="2" borderId="45" xfId="0" applyFont="1" applyFill="1" applyBorder="1" applyAlignment="1">
      <alignment horizontal="center"/>
    </xf>
    <xf numFmtId="0" fontId="35" fillId="2" borderId="46" xfId="0" applyFont="1" applyFill="1" applyBorder="1" applyAlignment="1">
      <alignment horizontal="center"/>
    </xf>
    <xf numFmtId="0" fontId="0" fillId="5" borderId="31" xfId="0" applyFill="1" applyBorder="1" applyAlignment="1">
      <alignment horizontal="left" vertical="center"/>
    </xf>
    <xf numFmtId="0" fontId="0" fillId="5" borderId="21" xfId="0" applyFill="1" applyBorder="1" applyAlignment="1">
      <alignment horizontal="left" vertical="center"/>
    </xf>
    <xf numFmtId="0" fontId="0" fillId="5" borderId="22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15" fillId="0" borderId="12" xfId="0" applyFont="1" applyFill="1" applyBorder="1" applyAlignment="1">
      <alignment horizontal="left" vertical="center"/>
    </xf>
    <xf numFmtId="3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9" fontId="15" fillId="0" borderId="12" xfId="0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38" fillId="0" borderId="53" xfId="0" applyFont="1" applyFill="1" applyBorder="1" applyAlignment="1">
      <alignment horizontal="center" vertical="top" wrapText="1"/>
    </xf>
    <xf numFmtId="0" fontId="38" fillId="0" borderId="54" xfId="0" applyFont="1" applyFill="1" applyBorder="1" applyAlignment="1">
      <alignment horizontal="center" vertical="top" wrapText="1"/>
    </xf>
    <xf numFmtId="2" fontId="39" fillId="0" borderId="53" xfId="0" applyNumberFormat="1" applyFont="1" applyFill="1" applyBorder="1" applyAlignment="1">
      <alignment horizontal="center" vertical="center" wrapText="1"/>
    </xf>
    <xf numFmtId="2" fontId="39" fillId="0" borderId="54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41" fontId="0" fillId="0" borderId="0" xfId="10" applyFont="1"/>
    <xf numFmtId="10" fontId="0" fillId="0" borderId="0" xfId="14" applyNumberFormat="1" applyFont="1"/>
    <xf numFmtId="168" fontId="0" fillId="0" borderId="0" xfId="0" applyNumberFormat="1"/>
    <xf numFmtId="0" fontId="0" fillId="0" borderId="0" xfId="0" applyAlignment="1">
      <alignment horizontal="center"/>
    </xf>
    <xf numFmtId="0" fontId="10" fillId="0" borderId="1" xfId="0" applyFont="1" applyBorder="1" applyAlignment="1">
      <alignment vertical="center"/>
    </xf>
    <xf numFmtId="0" fontId="38" fillId="0" borderId="1" xfId="0" applyFont="1" applyFill="1" applyBorder="1" applyAlignment="1">
      <alignment horizontal="center" vertical="top" wrapText="1"/>
    </xf>
    <xf numFmtId="170" fontId="0" fillId="0" borderId="1" xfId="0" applyNumberFormat="1" applyBorder="1" applyAlignment="1">
      <alignment horizontal="center"/>
    </xf>
    <xf numFmtId="10" fontId="0" fillId="0" borderId="0" xfId="0" applyNumberFormat="1"/>
  </cellXfs>
  <cellStyles count="15">
    <cellStyle name="Excel Built-in Comma" xfId="2"/>
    <cellStyle name="Excel_BuiltIn_Comma" xfId="4"/>
    <cellStyle name="Heading" xfId="5"/>
    <cellStyle name="Heading1" xfId="6"/>
    <cellStyle name="Millares" xfId="12" builtinId="3"/>
    <cellStyle name="Millares [0]" xfId="10" builtinId="6"/>
    <cellStyle name="Millares 2" xfId="9"/>
    <cellStyle name="Millares_G1" xfId="11"/>
    <cellStyle name="Millares_G5" xfId="13"/>
    <cellStyle name="Normal" xfId="0" builtinId="0"/>
    <cellStyle name="Normal 2" xfId="1"/>
    <cellStyle name="Normal 3" xfId="3"/>
    <cellStyle name="Porcentaje" xfId="14" builtinId="5"/>
    <cellStyle name="Result" xfId="7"/>
    <cellStyle name="Result2" xfId="8"/>
  </cellStyles>
  <dxfs count="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N82"/>
  <sheetViews>
    <sheetView workbookViewId="0">
      <pane xSplit="1" ySplit="2" topLeftCell="B69" activePane="bottomRight" state="frozen"/>
      <selection pane="topRight" activeCell="B1" sqref="B1"/>
      <selection pane="bottomLeft" activeCell="A3" sqref="A3"/>
      <selection pane="bottomRight" activeCell="B85" sqref="B85"/>
    </sheetView>
  </sheetViews>
  <sheetFormatPr baseColWidth="10" defaultColWidth="11.5703125" defaultRowHeight="15"/>
  <cols>
    <col min="1" max="1" width="9.85546875" style="63" customWidth="1"/>
    <col min="2" max="2" width="11.42578125" style="63" customWidth="1"/>
    <col min="7" max="7" width="15.28515625" customWidth="1"/>
    <col min="8" max="8" width="12.140625" customWidth="1"/>
    <col min="16" max="16" width="17.140625" customWidth="1"/>
  </cols>
  <sheetData>
    <row r="1" spans="1:12" ht="18.75" customHeight="1">
      <c r="A1" s="238" t="s">
        <v>124</v>
      </c>
      <c r="B1" s="239" t="s">
        <v>116</v>
      </c>
      <c r="C1" s="239"/>
      <c r="D1" s="239" t="s">
        <v>117</v>
      </c>
      <c r="E1" s="239"/>
      <c r="F1" s="235" t="s">
        <v>96</v>
      </c>
      <c r="G1" s="235"/>
      <c r="H1" s="235" t="s">
        <v>14</v>
      </c>
      <c r="I1" s="235"/>
      <c r="J1" s="235" t="s">
        <v>121</v>
      </c>
      <c r="K1" s="235"/>
      <c r="L1" s="235"/>
    </row>
    <row r="2" spans="1:12" ht="15" customHeight="1">
      <c r="A2" s="238"/>
      <c r="B2" s="55" t="s">
        <v>114</v>
      </c>
      <c r="C2" s="55" t="s">
        <v>115</v>
      </c>
      <c r="D2" s="55" t="s">
        <v>114</v>
      </c>
      <c r="E2" s="55" t="s">
        <v>115</v>
      </c>
      <c r="F2" s="55" t="s">
        <v>114</v>
      </c>
      <c r="G2" s="55" t="s">
        <v>115</v>
      </c>
      <c r="H2" s="55" t="s">
        <v>114</v>
      </c>
      <c r="I2" s="55" t="s">
        <v>115</v>
      </c>
      <c r="J2" s="56" t="s">
        <v>125</v>
      </c>
      <c r="K2" s="56" t="s">
        <v>126</v>
      </c>
      <c r="L2" s="56" t="s">
        <v>127</v>
      </c>
    </row>
    <row r="3" spans="1:12">
      <c r="A3" s="57">
        <v>40513</v>
      </c>
      <c r="B3" s="236">
        <v>3441423</v>
      </c>
      <c r="C3" s="236"/>
      <c r="D3" s="236">
        <v>1731468</v>
      </c>
      <c r="E3" s="236"/>
      <c r="F3" s="236">
        <v>355693</v>
      </c>
      <c r="G3" s="236"/>
      <c r="H3" s="237">
        <v>490257</v>
      </c>
      <c r="I3" s="237"/>
      <c r="J3" s="58"/>
      <c r="K3" s="58"/>
      <c r="L3" s="58"/>
    </row>
    <row r="4" spans="1:12">
      <c r="A4" s="57">
        <v>40695</v>
      </c>
      <c r="B4" s="236">
        <v>3511026</v>
      </c>
      <c r="C4" s="236"/>
      <c r="D4" s="236">
        <v>1897669</v>
      </c>
      <c r="E4" s="236"/>
      <c r="F4" s="236">
        <v>391720</v>
      </c>
      <c r="G4" s="236"/>
      <c r="H4" s="237">
        <v>419148</v>
      </c>
      <c r="I4" s="237"/>
      <c r="J4" s="58"/>
      <c r="K4" s="58"/>
      <c r="L4" s="58"/>
    </row>
    <row r="5" spans="1:12">
      <c r="A5" s="59">
        <v>40725</v>
      </c>
      <c r="B5" s="236">
        <v>3554292</v>
      </c>
      <c r="C5" s="236"/>
      <c r="D5" s="236">
        <v>1954913</v>
      </c>
      <c r="E5" s="236"/>
      <c r="F5" s="236">
        <v>403334</v>
      </c>
      <c r="G5" s="236"/>
      <c r="H5" s="237">
        <v>408525</v>
      </c>
      <c r="I5" s="237"/>
      <c r="J5" s="58"/>
      <c r="K5" s="58"/>
      <c r="L5" s="58"/>
    </row>
    <row r="6" spans="1:12">
      <c r="A6" s="59">
        <v>40756</v>
      </c>
      <c r="B6" s="236">
        <v>3553994</v>
      </c>
      <c r="C6" s="236"/>
      <c r="D6" s="236">
        <v>1954950</v>
      </c>
      <c r="E6" s="236"/>
      <c r="F6" s="236">
        <v>421873</v>
      </c>
      <c r="G6" s="236"/>
      <c r="H6" s="237">
        <v>404609</v>
      </c>
      <c r="I6" s="237"/>
      <c r="J6" s="58"/>
      <c r="K6" s="58"/>
      <c r="L6" s="58"/>
    </row>
    <row r="7" spans="1:12">
      <c r="A7" s="59">
        <v>40787</v>
      </c>
      <c r="B7" s="236">
        <v>3573992</v>
      </c>
      <c r="C7" s="236"/>
      <c r="D7" s="236">
        <v>1982341</v>
      </c>
      <c r="E7" s="236"/>
      <c r="F7" s="236">
        <v>438935</v>
      </c>
      <c r="G7" s="236"/>
      <c r="H7" s="237">
        <v>404890</v>
      </c>
      <c r="I7" s="237"/>
      <c r="J7" s="58"/>
      <c r="K7" s="58"/>
      <c r="L7" s="58"/>
    </row>
    <row r="8" spans="1:12">
      <c r="A8" s="59">
        <v>40817</v>
      </c>
      <c r="B8" s="236">
        <v>3602290</v>
      </c>
      <c r="C8" s="236"/>
      <c r="D8" s="236">
        <v>2001268</v>
      </c>
      <c r="E8" s="236"/>
      <c r="F8" s="236">
        <v>460648</v>
      </c>
      <c r="G8" s="236"/>
      <c r="H8" s="237">
        <v>406886</v>
      </c>
      <c r="I8" s="237"/>
      <c r="J8" s="58"/>
      <c r="K8" s="58"/>
      <c r="L8" s="58"/>
    </row>
    <row r="9" spans="1:12">
      <c r="A9" s="59">
        <v>40848</v>
      </c>
      <c r="B9" s="236">
        <v>3598531</v>
      </c>
      <c r="C9" s="236"/>
      <c r="D9" s="236">
        <v>2028655</v>
      </c>
      <c r="E9" s="236"/>
      <c r="F9" s="236">
        <v>478972</v>
      </c>
      <c r="G9" s="236"/>
      <c r="H9" s="237">
        <v>407574</v>
      </c>
      <c r="I9" s="237"/>
      <c r="J9" s="58"/>
      <c r="K9" s="58"/>
      <c r="L9" s="58"/>
    </row>
    <row r="10" spans="1:12" ht="15.75" thickBot="1">
      <c r="A10" s="67">
        <v>40878</v>
      </c>
      <c r="B10" s="240">
        <v>3613754</v>
      </c>
      <c r="C10" s="240"/>
      <c r="D10" s="240">
        <v>2050811</v>
      </c>
      <c r="E10" s="240"/>
      <c r="F10" s="240">
        <v>462612</v>
      </c>
      <c r="G10" s="240"/>
      <c r="H10" s="241">
        <v>401876</v>
      </c>
      <c r="I10" s="241"/>
      <c r="J10" s="69"/>
      <c r="K10" s="69"/>
      <c r="L10" s="69"/>
    </row>
    <row r="11" spans="1:12">
      <c r="A11" s="97">
        <v>40909</v>
      </c>
      <c r="B11" s="242">
        <v>3666643</v>
      </c>
      <c r="C11" s="242"/>
      <c r="D11" s="242">
        <v>2067338</v>
      </c>
      <c r="E11" s="242"/>
      <c r="F11" s="242">
        <v>391688</v>
      </c>
      <c r="G11" s="242"/>
      <c r="H11" s="242">
        <v>401903</v>
      </c>
      <c r="I11" s="242"/>
      <c r="J11" s="149"/>
      <c r="K11" s="149"/>
      <c r="L11" s="149"/>
    </row>
    <row r="12" spans="1:12">
      <c r="A12" s="59">
        <v>40940</v>
      </c>
      <c r="B12" s="236">
        <v>3727829</v>
      </c>
      <c r="C12" s="236"/>
      <c r="D12" s="236">
        <v>2074998</v>
      </c>
      <c r="E12" s="236"/>
      <c r="F12" s="236">
        <v>421894</v>
      </c>
      <c r="G12" s="236"/>
      <c r="H12" s="236">
        <v>404244</v>
      </c>
      <c r="I12" s="236"/>
      <c r="J12" s="60"/>
      <c r="K12" s="60"/>
      <c r="L12" s="60"/>
    </row>
    <row r="13" spans="1:12">
      <c r="A13" s="59">
        <v>40969</v>
      </c>
      <c r="B13" s="236">
        <v>3696641</v>
      </c>
      <c r="C13" s="236"/>
      <c r="D13" s="236">
        <v>2086391</v>
      </c>
      <c r="E13" s="236"/>
      <c r="F13" s="236">
        <v>467661</v>
      </c>
      <c r="G13" s="236"/>
      <c r="H13" s="236">
        <v>407197</v>
      </c>
      <c r="I13" s="236"/>
      <c r="J13" s="60"/>
      <c r="K13" s="60"/>
      <c r="L13" s="60"/>
    </row>
    <row r="14" spans="1:12">
      <c r="A14" s="59">
        <v>41000</v>
      </c>
      <c r="B14" s="236">
        <v>3682805</v>
      </c>
      <c r="C14" s="236"/>
      <c r="D14" s="236">
        <v>2096809</v>
      </c>
      <c r="E14" s="236"/>
      <c r="F14" s="236">
        <v>438490</v>
      </c>
      <c r="G14" s="236"/>
      <c r="H14" s="236">
        <v>404918</v>
      </c>
      <c r="I14" s="236"/>
      <c r="J14" s="60"/>
      <c r="K14" s="60"/>
      <c r="L14" s="60"/>
    </row>
    <row r="15" spans="1:12">
      <c r="A15" s="59">
        <v>41030</v>
      </c>
      <c r="B15" s="236">
        <v>3686370</v>
      </c>
      <c r="C15" s="236"/>
      <c r="D15" s="236">
        <v>2111630</v>
      </c>
      <c r="E15" s="236"/>
      <c r="F15" s="236">
        <v>394370</v>
      </c>
      <c r="G15" s="236"/>
      <c r="H15" s="236">
        <v>407939</v>
      </c>
      <c r="I15" s="236"/>
      <c r="J15" s="60"/>
      <c r="K15" s="60"/>
      <c r="L15" s="60"/>
    </row>
    <row r="16" spans="1:12">
      <c r="A16" s="59">
        <v>41061</v>
      </c>
      <c r="B16" s="236">
        <v>3689655</v>
      </c>
      <c r="C16" s="236"/>
      <c r="D16" s="236">
        <v>2116271</v>
      </c>
      <c r="E16" s="236"/>
      <c r="F16" s="236">
        <v>398454</v>
      </c>
      <c r="G16" s="236"/>
      <c r="H16" s="236">
        <v>413275</v>
      </c>
      <c r="I16" s="236"/>
      <c r="J16" s="60"/>
      <c r="K16" s="60"/>
      <c r="L16" s="60"/>
    </row>
    <row r="17" spans="1:14">
      <c r="A17" s="59">
        <v>41091</v>
      </c>
      <c r="B17" s="236">
        <v>3716349</v>
      </c>
      <c r="C17" s="236"/>
      <c r="D17" s="236">
        <v>2124523</v>
      </c>
      <c r="E17" s="236"/>
      <c r="F17" s="236"/>
      <c r="G17" s="236"/>
      <c r="H17" s="236">
        <v>422592</v>
      </c>
      <c r="I17" s="236"/>
      <c r="J17" s="60"/>
      <c r="K17" s="60"/>
      <c r="L17" s="60"/>
      <c r="N17" s="1"/>
    </row>
    <row r="18" spans="1:14">
      <c r="A18" s="59">
        <v>41122</v>
      </c>
      <c r="B18" s="236">
        <v>3761461</v>
      </c>
      <c r="C18" s="236"/>
      <c r="D18" s="236">
        <v>2132671</v>
      </c>
      <c r="E18" s="236"/>
      <c r="F18" s="236"/>
      <c r="G18" s="236"/>
      <c r="H18" s="236">
        <v>424978</v>
      </c>
      <c r="I18" s="236"/>
      <c r="J18" s="60"/>
      <c r="K18" s="60"/>
      <c r="L18" s="60"/>
    </row>
    <row r="19" spans="1:14">
      <c r="A19" s="59">
        <v>41153</v>
      </c>
      <c r="B19" s="236">
        <v>3808803</v>
      </c>
      <c r="C19" s="236"/>
      <c r="D19" s="236">
        <v>2137933</v>
      </c>
      <c r="E19" s="236"/>
      <c r="F19" s="236"/>
      <c r="G19" s="236"/>
      <c r="H19" s="236">
        <v>425161</v>
      </c>
      <c r="I19" s="236"/>
      <c r="J19" s="60"/>
      <c r="K19" s="60"/>
      <c r="L19" s="60"/>
    </row>
    <row r="20" spans="1:14">
      <c r="A20" s="59">
        <v>41183</v>
      </c>
      <c r="B20" s="236">
        <v>3849084</v>
      </c>
      <c r="C20" s="236"/>
      <c r="D20" s="236">
        <v>2145214</v>
      </c>
      <c r="E20" s="236"/>
      <c r="F20" s="236">
        <v>391379</v>
      </c>
      <c r="G20" s="236"/>
      <c r="H20" s="236">
        <v>430045</v>
      </c>
      <c r="I20" s="236"/>
      <c r="J20" s="60">
        <v>392</v>
      </c>
      <c r="K20" s="60">
        <v>27868</v>
      </c>
      <c r="L20" s="60">
        <v>358706</v>
      </c>
      <c r="N20" s="1"/>
    </row>
    <row r="21" spans="1:14">
      <c r="A21" s="59">
        <v>41214</v>
      </c>
      <c r="B21" s="236">
        <v>3885575</v>
      </c>
      <c r="C21" s="236"/>
      <c r="D21" s="236">
        <v>2152543</v>
      </c>
      <c r="E21" s="236"/>
      <c r="F21" s="236">
        <v>398968</v>
      </c>
      <c r="G21" s="236"/>
      <c r="H21" s="236">
        <v>430772</v>
      </c>
      <c r="I21" s="236"/>
      <c r="J21" s="60">
        <v>392</v>
      </c>
      <c r="K21" s="60">
        <v>28288</v>
      </c>
      <c r="L21" s="60">
        <v>358290</v>
      </c>
    </row>
    <row r="22" spans="1:14" ht="15.75" thickBot="1">
      <c r="A22" s="67">
        <v>41244</v>
      </c>
      <c r="B22" s="240">
        <v>3948733</v>
      </c>
      <c r="C22" s="240"/>
      <c r="D22" s="240">
        <v>2162754</v>
      </c>
      <c r="E22" s="240"/>
      <c r="F22" s="240">
        <v>408549</v>
      </c>
      <c r="G22" s="240"/>
      <c r="H22" s="240">
        <v>439567</v>
      </c>
      <c r="I22" s="240"/>
      <c r="J22" s="148">
        <v>412</v>
      </c>
      <c r="K22" s="148">
        <v>28638</v>
      </c>
      <c r="L22" s="148">
        <v>359358</v>
      </c>
    </row>
    <row r="23" spans="1:14">
      <c r="A23" s="97">
        <v>41276</v>
      </c>
      <c r="B23" s="244">
        <v>3799272</v>
      </c>
      <c r="C23" s="244"/>
      <c r="D23" s="244">
        <v>2169355</v>
      </c>
      <c r="E23" s="244"/>
      <c r="F23" s="244">
        <f>313134+101190</f>
        <v>414324</v>
      </c>
      <c r="G23" s="244"/>
      <c r="H23" s="244">
        <v>441776</v>
      </c>
      <c r="I23" s="244"/>
      <c r="J23" s="66">
        <v>412</v>
      </c>
      <c r="K23" s="66">
        <f>K22+1502</f>
        <v>30140</v>
      </c>
      <c r="L23" s="66">
        <v>359145</v>
      </c>
    </row>
    <row r="24" spans="1:14">
      <c r="A24" s="59">
        <v>41306</v>
      </c>
      <c r="B24" s="243">
        <v>3782641</v>
      </c>
      <c r="C24" s="243"/>
      <c r="D24" s="243">
        <v>2175287</v>
      </c>
      <c r="E24" s="243"/>
      <c r="F24" s="243">
        <f>322144+99165</f>
        <v>421309</v>
      </c>
      <c r="G24" s="243"/>
      <c r="H24" s="243">
        <v>446662</v>
      </c>
      <c r="I24" s="243"/>
      <c r="J24" s="61">
        <v>412</v>
      </c>
      <c r="K24" s="61">
        <f>K23+1509</f>
        <v>31649</v>
      </c>
      <c r="L24" s="61">
        <v>361789</v>
      </c>
    </row>
    <row r="25" spans="1:14">
      <c r="A25" s="59">
        <v>41334</v>
      </c>
      <c r="B25" s="243">
        <v>3779042</v>
      </c>
      <c r="C25" s="243"/>
      <c r="D25" s="243">
        <v>2187017</v>
      </c>
      <c r="E25" s="243"/>
      <c r="F25" s="243">
        <f>324435+97870</f>
        <v>422305</v>
      </c>
      <c r="G25" s="243"/>
      <c r="H25" s="243">
        <v>452559</v>
      </c>
      <c r="I25" s="243"/>
      <c r="J25" s="61">
        <v>412</v>
      </c>
      <c r="K25" s="61">
        <f>K24+1177</f>
        <v>32826</v>
      </c>
      <c r="L25" s="61">
        <v>364109</v>
      </c>
    </row>
    <row r="26" spans="1:14">
      <c r="A26" s="59">
        <v>41365</v>
      </c>
      <c r="B26" s="243">
        <v>3790270</v>
      </c>
      <c r="C26" s="243"/>
      <c r="D26" s="243">
        <v>2197585</v>
      </c>
      <c r="E26" s="243"/>
      <c r="F26" s="243">
        <v>445527</v>
      </c>
      <c r="G26" s="243"/>
      <c r="H26" s="243">
        <v>460068</v>
      </c>
      <c r="I26" s="243"/>
      <c r="J26" s="61">
        <v>412</v>
      </c>
      <c r="K26" s="61">
        <f>K25+843</f>
        <v>33669</v>
      </c>
      <c r="L26" s="61">
        <v>366659</v>
      </c>
    </row>
    <row r="27" spans="1:14">
      <c r="A27" s="59">
        <v>41395</v>
      </c>
      <c r="B27" s="243">
        <v>3792320</v>
      </c>
      <c r="C27" s="243"/>
      <c r="D27" s="243">
        <v>2204192</v>
      </c>
      <c r="E27" s="243"/>
      <c r="F27" s="243">
        <v>384854</v>
      </c>
      <c r="G27" s="243"/>
      <c r="H27" s="243">
        <v>462979</v>
      </c>
      <c r="I27" s="243"/>
      <c r="J27" s="61">
        <v>412</v>
      </c>
      <c r="K27" s="61">
        <f>K26+903</f>
        <v>34572</v>
      </c>
      <c r="L27" s="61">
        <v>369515</v>
      </c>
    </row>
    <row r="28" spans="1:14">
      <c r="A28" s="59">
        <v>41426</v>
      </c>
      <c r="B28" s="243">
        <v>3785086</v>
      </c>
      <c r="C28" s="243"/>
      <c r="D28" s="243">
        <v>2212506</v>
      </c>
      <c r="E28" s="243"/>
      <c r="F28" s="243">
        <v>396269</v>
      </c>
      <c r="G28" s="243"/>
      <c r="H28" s="243">
        <v>464063</v>
      </c>
      <c r="I28" s="243"/>
      <c r="J28" s="61">
        <f>J27+123</f>
        <v>535</v>
      </c>
      <c r="K28" s="61">
        <f>K27+973</f>
        <v>35545</v>
      </c>
      <c r="L28" s="61">
        <v>372079</v>
      </c>
    </row>
    <row r="29" spans="1:14">
      <c r="A29" s="59">
        <v>41457</v>
      </c>
      <c r="B29" s="243">
        <v>3775781</v>
      </c>
      <c r="C29" s="243"/>
      <c r="D29" s="243">
        <v>2225704</v>
      </c>
      <c r="E29" s="243"/>
      <c r="F29" s="243">
        <v>413666</v>
      </c>
      <c r="G29" s="243"/>
      <c r="H29" s="243">
        <v>468795</v>
      </c>
      <c r="I29" s="243"/>
      <c r="J29" s="61">
        <f>J28+109</f>
        <v>644</v>
      </c>
      <c r="K29" s="61">
        <f>K28+1048</f>
        <v>36593</v>
      </c>
      <c r="L29" s="61">
        <v>375490</v>
      </c>
    </row>
    <row r="30" spans="1:14">
      <c r="A30" s="59">
        <v>41489</v>
      </c>
      <c r="B30" s="243">
        <v>3765926</v>
      </c>
      <c r="C30" s="243"/>
      <c r="D30" s="243">
        <v>2235705</v>
      </c>
      <c r="E30" s="243"/>
      <c r="F30" s="243">
        <v>425405</v>
      </c>
      <c r="G30" s="243"/>
      <c r="H30" s="243">
        <v>470928</v>
      </c>
      <c r="I30" s="243"/>
      <c r="J30" s="61">
        <f>J29+72</f>
        <v>716</v>
      </c>
      <c r="K30" s="61">
        <f>K29+1999</f>
        <v>38592</v>
      </c>
      <c r="L30" s="61">
        <v>380331</v>
      </c>
    </row>
    <row r="31" spans="1:14">
      <c r="A31" s="59">
        <v>41521</v>
      </c>
      <c r="B31" s="243">
        <v>3772465</v>
      </c>
      <c r="C31" s="243"/>
      <c r="D31" s="243">
        <v>2244817</v>
      </c>
      <c r="E31" s="243"/>
      <c r="F31" s="243">
        <v>437366</v>
      </c>
      <c r="G31" s="243"/>
      <c r="H31" s="243">
        <v>475349</v>
      </c>
      <c r="I31" s="243"/>
      <c r="J31" s="61">
        <f>J30+233</f>
        <v>949</v>
      </c>
      <c r="K31" s="61">
        <f>K30+1823</f>
        <v>40415</v>
      </c>
      <c r="L31" s="61">
        <v>385365</v>
      </c>
    </row>
    <row r="32" spans="1:14">
      <c r="A32" s="59">
        <v>41552</v>
      </c>
      <c r="B32" s="243">
        <v>3776734</v>
      </c>
      <c r="C32" s="243"/>
      <c r="D32" s="243">
        <v>2248300</v>
      </c>
      <c r="E32" s="243"/>
      <c r="F32" s="243">
        <v>447941</v>
      </c>
      <c r="G32" s="243"/>
      <c r="H32" s="243">
        <v>480793</v>
      </c>
      <c r="I32" s="243"/>
      <c r="J32" s="61">
        <f>J31+268</f>
        <v>1217</v>
      </c>
      <c r="K32" s="61">
        <f>K31+1216</f>
        <v>41631</v>
      </c>
      <c r="L32" s="61">
        <v>390022</v>
      </c>
    </row>
    <row r="33" spans="1:14">
      <c r="A33" s="59">
        <v>41584</v>
      </c>
      <c r="B33" s="243">
        <v>3758484</v>
      </c>
      <c r="C33" s="243"/>
      <c r="D33" s="243">
        <v>2253483</v>
      </c>
      <c r="E33" s="243"/>
      <c r="F33" s="243">
        <v>458175</v>
      </c>
      <c r="G33" s="243"/>
      <c r="H33" s="243">
        <v>493491</v>
      </c>
      <c r="I33" s="243"/>
      <c r="J33" s="61">
        <f>J32+159</f>
        <v>1376</v>
      </c>
      <c r="K33" s="61">
        <f>K32+763</f>
        <v>42394</v>
      </c>
      <c r="L33" s="61">
        <v>393274</v>
      </c>
    </row>
    <row r="34" spans="1:14" ht="15.75" thickBot="1">
      <c r="A34" s="67">
        <v>41609</v>
      </c>
      <c r="B34" s="245">
        <v>3816835</v>
      </c>
      <c r="C34" s="245"/>
      <c r="D34" s="245">
        <v>2262067</v>
      </c>
      <c r="E34" s="245"/>
      <c r="F34" s="245">
        <v>465795</v>
      </c>
      <c r="G34" s="245"/>
      <c r="H34" s="245">
        <v>508600</v>
      </c>
      <c r="I34" s="245"/>
      <c r="J34" s="68">
        <f>J33+232</f>
        <v>1608</v>
      </c>
      <c r="K34" s="68">
        <f>K33+688</f>
        <v>43082</v>
      </c>
      <c r="L34" s="68">
        <v>392953</v>
      </c>
    </row>
    <row r="35" spans="1:14">
      <c r="A35" s="97">
        <v>41640</v>
      </c>
      <c r="B35" s="244">
        <v>3813314</v>
      </c>
      <c r="C35" s="244"/>
      <c r="D35" s="244">
        <v>2265569</v>
      </c>
      <c r="E35" s="244"/>
      <c r="F35" s="244">
        <f>383189+91897</f>
        <v>475086</v>
      </c>
      <c r="G35" s="244"/>
      <c r="H35" s="244">
        <v>518099</v>
      </c>
      <c r="I35" s="244"/>
      <c r="J35" s="66">
        <v>2197</v>
      </c>
      <c r="K35" s="66">
        <v>17229</v>
      </c>
      <c r="L35" s="66">
        <v>319878</v>
      </c>
    </row>
    <row r="36" spans="1:14">
      <c r="A36" s="59">
        <v>41671</v>
      </c>
      <c r="B36" s="243">
        <v>3760457</v>
      </c>
      <c r="C36" s="243"/>
      <c r="D36" s="243">
        <v>2260712</v>
      </c>
      <c r="E36" s="243"/>
      <c r="F36" s="243">
        <f>391692+90220</f>
        <v>481912</v>
      </c>
      <c r="G36" s="243"/>
      <c r="H36" s="243">
        <v>531185</v>
      </c>
      <c r="I36" s="243"/>
      <c r="J36" s="61">
        <v>2337</v>
      </c>
      <c r="K36" s="61">
        <v>18126</v>
      </c>
      <c r="L36" s="61">
        <v>321071</v>
      </c>
    </row>
    <row r="37" spans="1:14">
      <c r="A37" s="59">
        <v>41699</v>
      </c>
      <c r="B37" s="243">
        <v>3715855</v>
      </c>
      <c r="C37" s="243"/>
      <c r="D37" s="243">
        <v>2260764</v>
      </c>
      <c r="E37" s="243"/>
      <c r="F37" s="243">
        <f>400600+88566</f>
        <v>489166</v>
      </c>
      <c r="G37" s="243"/>
      <c r="H37" s="243">
        <v>546747</v>
      </c>
      <c r="I37" s="243"/>
      <c r="J37" s="61">
        <v>2459</v>
      </c>
      <c r="K37" s="61">
        <v>18991</v>
      </c>
      <c r="L37" s="61">
        <v>322549</v>
      </c>
    </row>
    <row r="38" spans="1:14">
      <c r="A38" s="59">
        <v>41730</v>
      </c>
      <c r="B38" s="243">
        <v>3711776</v>
      </c>
      <c r="C38" s="243"/>
      <c r="D38" s="243">
        <v>2254059</v>
      </c>
      <c r="E38" s="243"/>
      <c r="F38" s="243">
        <f>409334+80691</f>
        <v>490025</v>
      </c>
      <c r="G38" s="243"/>
      <c r="H38" s="243">
        <v>553657</v>
      </c>
      <c r="I38" s="243"/>
      <c r="J38" s="61">
        <v>2521</v>
      </c>
      <c r="K38" s="61">
        <v>19586</v>
      </c>
      <c r="L38" s="61">
        <v>324112</v>
      </c>
    </row>
    <row r="39" spans="1:14">
      <c r="A39" s="59">
        <v>41760</v>
      </c>
      <c r="B39" s="243">
        <v>3699842</v>
      </c>
      <c r="C39" s="243"/>
      <c r="D39" s="243">
        <v>2243959</v>
      </c>
      <c r="E39" s="243"/>
      <c r="F39" s="243">
        <f>417451+79041</f>
        <v>496492</v>
      </c>
      <c r="G39" s="243"/>
      <c r="H39" s="243">
        <v>565125</v>
      </c>
      <c r="I39" s="243"/>
      <c r="J39" s="61">
        <v>2765</v>
      </c>
      <c r="K39" s="61">
        <v>20287</v>
      </c>
      <c r="L39" s="61">
        <v>325456</v>
      </c>
    </row>
    <row r="40" spans="1:14">
      <c r="A40" s="59">
        <v>41791</v>
      </c>
      <c r="B40" s="243">
        <v>3704593</v>
      </c>
      <c r="C40" s="243"/>
      <c r="D40" s="243">
        <v>2241285</v>
      </c>
      <c r="E40" s="243"/>
      <c r="F40" s="243">
        <f>425126+76945</f>
        <v>502071</v>
      </c>
      <c r="G40" s="243"/>
      <c r="H40" s="243">
        <v>570528</v>
      </c>
      <c r="I40" s="243"/>
      <c r="J40" s="61">
        <v>3729</v>
      </c>
      <c r="K40" s="61">
        <v>20959</v>
      </c>
      <c r="L40" s="61">
        <v>326795</v>
      </c>
    </row>
    <row r="41" spans="1:14">
      <c r="A41" s="59">
        <v>41821</v>
      </c>
      <c r="B41" s="62">
        <v>2915599</v>
      </c>
      <c r="C41" s="61">
        <v>812296</v>
      </c>
      <c r="D41" s="61">
        <v>1912523</v>
      </c>
      <c r="E41" s="61">
        <v>339415</v>
      </c>
      <c r="F41" s="61">
        <v>433778</v>
      </c>
      <c r="G41" s="61">
        <v>75386</v>
      </c>
      <c r="H41" s="61">
        <v>313264</v>
      </c>
      <c r="I41" s="61">
        <v>262802</v>
      </c>
      <c r="J41" s="61">
        <v>4410</v>
      </c>
      <c r="K41" s="61">
        <v>21862</v>
      </c>
      <c r="L41" s="61">
        <v>328638</v>
      </c>
    </row>
    <row r="42" spans="1:14">
      <c r="A42" s="59">
        <v>41852</v>
      </c>
      <c r="B42" s="62">
        <v>2937317</v>
      </c>
      <c r="C42" s="61">
        <v>817687</v>
      </c>
      <c r="D42" s="61">
        <v>1928619</v>
      </c>
      <c r="E42" s="61">
        <v>340060</v>
      </c>
      <c r="F42" s="61">
        <v>442388</v>
      </c>
      <c r="G42" s="61">
        <v>73407</v>
      </c>
      <c r="H42" s="61">
        <v>316902</v>
      </c>
      <c r="I42" s="61">
        <v>263387</v>
      </c>
      <c r="J42" s="61">
        <v>4984</v>
      </c>
      <c r="K42" s="61">
        <v>23380</v>
      </c>
      <c r="L42" s="61">
        <v>331462</v>
      </c>
    </row>
    <row r="43" spans="1:14">
      <c r="A43" s="59">
        <v>41883</v>
      </c>
      <c r="B43" s="62">
        <v>2941608</v>
      </c>
      <c r="C43" s="61">
        <v>825015</v>
      </c>
      <c r="D43" s="61">
        <v>1942830</v>
      </c>
      <c r="E43" s="61">
        <v>340859</v>
      </c>
      <c r="F43" s="61">
        <v>449263</v>
      </c>
      <c r="G43" s="61">
        <v>72135</v>
      </c>
      <c r="H43" s="61">
        <v>323522</v>
      </c>
      <c r="I43" s="61">
        <v>263147</v>
      </c>
      <c r="J43" s="61">
        <v>5616</v>
      </c>
      <c r="K43" s="61">
        <v>24176</v>
      </c>
      <c r="L43" s="61">
        <v>331603</v>
      </c>
    </row>
    <row r="44" spans="1:14">
      <c r="A44" s="59">
        <v>41913</v>
      </c>
      <c r="B44" s="62">
        <v>2937307</v>
      </c>
      <c r="C44" s="61">
        <v>826232</v>
      </c>
      <c r="D44" s="61">
        <v>1958863</v>
      </c>
      <c r="E44" s="61">
        <v>343267</v>
      </c>
      <c r="F44" s="61">
        <v>454365</v>
      </c>
      <c r="G44" s="61">
        <v>69615</v>
      </c>
      <c r="H44" s="61">
        <v>331511</v>
      </c>
      <c r="I44" s="61">
        <v>262318</v>
      </c>
      <c r="J44" s="61">
        <v>5377</v>
      </c>
      <c r="K44" s="61">
        <v>24260</v>
      </c>
      <c r="L44" s="61">
        <v>337449</v>
      </c>
    </row>
    <row r="45" spans="1:14">
      <c r="A45" s="59">
        <v>41944</v>
      </c>
      <c r="B45" s="62">
        <v>2930959</v>
      </c>
      <c r="C45" s="61">
        <v>832069</v>
      </c>
      <c r="D45" s="61">
        <v>1974830</v>
      </c>
      <c r="E45" s="61">
        <v>345921</v>
      </c>
      <c r="F45" s="61">
        <v>453399</v>
      </c>
      <c r="G45" s="61">
        <v>67637</v>
      </c>
      <c r="H45" s="61">
        <v>338236</v>
      </c>
      <c r="I45" s="61">
        <v>259588</v>
      </c>
      <c r="J45" s="61">
        <v>6000</v>
      </c>
      <c r="K45" s="61">
        <v>25562</v>
      </c>
      <c r="L45" s="61">
        <v>339331</v>
      </c>
    </row>
    <row r="46" spans="1:14" ht="15.75" thickBot="1">
      <c r="A46" s="67">
        <v>41974</v>
      </c>
      <c r="B46" s="147">
        <v>2982275</v>
      </c>
      <c r="C46" s="68">
        <v>841649</v>
      </c>
      <c r="D46" s="68">
        <v>1998755</v>
      </c>
      <c r="E46" s="68">
        <v>347915</v>
      </c>
      <c r="F46" s="68">
        <v>456322</v>
      </c>
      <c r="G46" s="68">
        <v>65732</v>
      </c>
      <c r="H46" s="68">
        <v>351760</v>
      </c>
      <c r="I46" s="68">
        <v>260869</v>
      </c>
      <c r="J46" s="68">
        <v>6443</v>
      </c>
      <c r="K46" s="68">
        <v>26586</v>
      </c>
      <c r="L46" s="68">
        <v>338873</v>
      </c>
    </row>
    <row r="47" spans="1:14">
      <c r="A47" s="97">
        <v>42005</v>
      </c>
      <c r="B47" s="66">
        <f>1813744+1192773</f>
        <v>3006517</v>
      </c>
      <c r="C47" s="66">
        <f>252240+588567</f>
        <v>840807</v>
      </c>
      <c r="D47" s="66">
        <v>2003332</v>
      </c>
      <c r="E47" s="66">
        <v>351857</v>
      </c>
      <c r="F47" s="66">
        <v>461697</v>
      </c>
      <c r="G47" s="66">
        <v>63516</v>
      </c>
      <c r="H47" s="66">
        <v>370317</v>
      </c>
      <c r="I47" s="66">
        <v>261302</v>
      </c>
      <c r="J47" s="66">
        <v>7522</v>
      </c>
      <c r="K47" s="66">
        <v>22868</v>
      </c>
      <c r="L47" s="66">
        <v>335066</v>
      </c>
      <c r="M47" s="1"/>
      <c r="N47" s="1"/>
    </row>
    <row r="48" spans="1:14">
      <c r="A48" s="59">
        <v>42036</v>
      </c>
      <c r="B48" s="61">
        <f>1807291+1212510</f>
        <v>3019801</v>
      </c>
      <c r="C48" s="61">
        <f>249573+596412</f>
        <v>845985</v>
      </c>
      <c r="D48" s="61">
        <v>2006888</v>
      </c>
      <c r="E48" s="61">
        <v>355111</v>
      </c>
      <c r="F48" s="61">
        <v>466497</v>
      </c>
      <c r="G48" s="61">
        <v>63823</v>
      </c>
      <c r="H48" s="61">
        <v>385916</v>
      </c>
      <c r="I48" s="61">
        <v>261335</v>
      </c>
      <c r="J48" s="61">
        <v>6886</v>
      </c>
      <c r="K48" s="61">
        <v>22368</v>
      </c>
      <c r="L48" s="61">
        <v>333881</v>
      </c>
      <c r="M48" s="1"/>
      <c r="N48" s="1"/>
    </row>
    <row r="49" spans="1:14">
      <c r="A49" s="59">
        <v>42064</v>
      </c>
      <c r="B49" s="61">
        <f>1786183+1236800</f>
        <v>3022983</v>
      </c>
      <c r="C49" s="61">
        <f>244071+606734</f>
        <v>850805</v>
      </c>
      <c r="D49" s="61">
        <v>2020631</v>
      </c>
      <c r="E49" s="61">
        <v>360799</v>
      </c>
      <c r="F49" s="61">
        <v>475232</v>
      </c>
      <c r="G49" s="61">
        <v>57728</v>
      </c>
      <c r="H49" s="61">
        <v>404525</v>
      </c>
      <c r="I49" s="61">
        <v>261446</v>
      </c>
      <c r="J49" s="61">
        <v>7755</v>
      </c>
      <c r="K49" s="61">
        <v>23024</v>
      </c>
      <c r="L49" s="61">
        <v>322558</v>
      </c>
      <c r="M49" s="1"/>
      <c r="N49" s="1"/>
    </row>
    <row r="50" spans="1:14">
      <c r="A50" s="59">
        <v>42095</v>
      </c>
      <c r="B50" s="61">
        <f>1762293+1258793</f>
        <v>3021086</v>
      </c>
      <c r="C50" s="61">
        <f>241998+611031</f>
        <v>853029</v>
      </c>
      <c r="D50" s="61">
        <v>2028897</v>
      </c>
      <c r="E50" s="61">
        <v>365809</v>
      </c>
      <c r="F50" s="61">
        <v>477183</v>
      </c>
      <c r="G50" s="61">
        <v>55353</v>
      </c>
      <c r="H50" s="61">
        <v>419539</v>
      </c>
      <c r="I50" s="61">
        <v>260709</v>
      </c>
      <c r="J50" s="61">
        <v>8323</v>
      </c>
      <c r="K50" s="61">
        <v>23416</v>
      </c>
      <c r="L50" s="61">
        <v>318188</v>
      </c>
      <c r="M50" s="1"/>
      <c r="N50" s="1"/>
    </row>
    <row r="51" spans="1:14">
      <c r="A51" s="59">
        <v>42125</v>
      </c>
      <c r="B51" s="61">
        <f>1747016+1285215</f>
        <v>3032231</v>
      </c>
      <c r="C51" s="61">
        <f>239052+619480</f>
        <v>858532</v>
      </c>
      <c r="D51" s="61">
        <v>2011281</v>
      </c>
      <c r="E51" s="61">
        <v>370110</v>
      </c>
      <c r="F51" s="61">
        <v>471441</v>
      </c>
      <c r="G51" s="61">
        <v>53923</v>
      </c>
      <c r="H51" s="61">
        <v>440589</v>
      </c>
      <c r="I51" s="61">
        <v>260130</v>
      </c>
      <c r="J51" s="61">
        <v>9119</v>
      </c>
      <c r="K51" s="61">
        <v>24296</v>
      </c>
      <c r="L51" s="61">
        <v>324516</v>
      </c>
      <c r="M51" s="1"/>
      <c r="N51" s="1"/>
    </row>
    <row r="52" spans="1:14">
      <c r="A52" s="59">
        <v>42156</v>
      </c>
      <c r="B52" s="61">
        <f>1725354+1305075</f>
        <v>3030429</v>
      </c>
      <c r="C52" s="61">
        <f>234160+627756</f>
        <v>861916</v>
      </c>
      <c r="D52" s="61">
        <v>2021244</v>
      </c>
      <c r="E52" s="61">
        <v>374083</v>
      </c>
      <c r="F52" s="61">
        <v>464485</v>
      </c>
      <c r="G52" s="61">
        <v>53055</v>
      </c>
      <c r="H52" s="61">
        <v>460469</v>
      </c>
      <c r="I52" s="61">
        <v>258847</v>
      </c>
      <c r="J52" s="61">
        <v>9317</v>
      </c>
      <c r="K52" s="61">
        <v>24648</v>
      </c>
      <c r="L52" s="61">
        <v>325499</v>
      </c>
      <c r="M52" s="1"/>
      <c r="N52" s="1"/>
    </row>
    <row r="53" spans="1:14">
      <c r="A53" s="59">
        <v>42186</v>
      </c>
      <c r="B53" s="61">
        <f>1647464+1337160</f>
        <v>2984624</v>
      </c>
      <c r="C53" s="61">
        <f>228383+635471</f>
        <v>863854</v>
      </c>
      <c r="D53" s="61">
        <v>2025685</v>
      </c>
      <c r="E53" s="61">
        <v>379230</v>
      </c>
      <c r="F53" s="61">
        <v>459905</v>
      </c>
      <c r="G53" s="61">
        <v>51805</v>
      </c>
      <c r="H53" s="61">
        <v>479850</v>
      </c>
      <c r="I53" s="61">
        <v>256646</v>
      </c>
      <c r="J53" s="61">
        <v>9122</v>
      </c>
      <c r="K53" s="61">
        <v>24737</v>
      </c>
      <c r="L53" s="61">
        <v>322916</v>
      </c>
    </row>
    <row r="54" spans="1:14">
      <c r="A54" s="59">
        <v>42217</v>
      </c>
      <c r="B54" s="61">
        <f>1597901+1370002</f>
        <v>2967903</v>
      </c>
      <c r="C54" s="61">
        <f>225083+646356</f>
        <v>871439</v>
      </c>
      <c r="D54" s="61">
        <v>2005340</v>
      </c>
      <c r="E54" s="61">
        <v>384304</v>
      </c>
      <c r="F54" s="61">
        <v>452104</v>
      </c>
      <c r="G54" s="61">
        <v>50465</v>
      </c>
      <c r="H54" s="61">
        <v>501968</v>
      </c>
      <c r="I54" s="61">
        <v>257103</v>
      </c>
      <c r="J54" s="61">
        <v>9643</v>
      </c>
      <c r="K54" s="61">
        <v>25229</v>
      </c>
      <c r="L54" s="61">
        <v>321250</v>
      </c>
    </row>
    <row r="55" spans="1:14">
      <c r="A55" s="59">
        <v>42248</v>
      </c>
      <c r="B55" s="61">
        <f>1606601+1382017</f>
        <v>2988618</v>
      </c>
      <c r="C55" s="61">
        <f>222990+649652</f>
        <v>872642</v>
      </c>
      <c r="D55" s="61">
        <v>2020047</v>
      </c>
      <c r="E55" s="61">
        <v>390484</v>
      </c>
      <c r="F55" s="61">
        <v>310646</v>
      </c>
      <c r="G55" s="61">
        <v>49311</v>
      </c>
      <c r="H55" s="61">
        <v>522433</v>
      </c>
      <c r="I55" s="61">
        <v>258122</v>
      </c>
      <c r="J55" s="61">
        <v>9783</v>
      </c>
      <c r="K55" s="61">
        <v>26025</v>
      </c>
      <c r="L55" s="61">
        <v>322892</v>
      </c>
    </row>
    <row r="56" spans="1:14">
      <c r="A56" s="59">
        <v>42278</v>
      </c>
      <c r="B56" s="61">
        <f>1587587+1392913</f>
        <v>2980500</v>
      </c>
      <c r="C56" s="61">
        <f>218683+652322</f>
        <v>871005</v>
      </c>
      <c r="D56" s="61">
        <v>2009780</v>
      </c>
      <c r="E56" s="61">
        <v>393647</v>
      </c>
      <c r="F56" s="61">
        <v>168251</v>
      </c>
      <c r="G56" s="61">
        <v>51880</v>
      </c>
      <c r="H56" s="61">
        <v>546329</v>
      </c>
      <c r="I56" s="61">
        <v>256629</v>
      </c>
      <c r="J56" s="61">
        <v>8113</v>
      </c>
      <c r="K56" s="61">
        <v>24882</v>
      </c>
      <c r="L56" s="61">
        <v>318105</v>
      </c>
    </row>
    <row r="57" spans="1:14">
      <c r="A57" s="59">
        <v>42309</v>
      </c>
      <c r="B57" s="61">
        <f>1549671+1423250</f>
        <v>2972921</v>
      </c>
      <c r="C57" s="61">
        <f>214083+657829</f>
        <v>871912</v>
      </c>
      <c r="D57" s="61">
        <v>2014972</v>
      </c>
      <c r="E57" s="61">
        <v>398557</v>
      </c>
      <c r="F57" s="61">
        <v>167631</v>
      </c>
      <c r="G57" s="61">
        <v>49799</v>
      </c>
      <c r="H57" s="61">
        <v>573506</v>
      </c>
      <c r="I57" s="61">
        <v>259195</v>
      </c>
      <c r="J57" s="61">
        <v>8191</v>
      </c>
      <c r="K57" s="61">
        <v>25776</v>
      </c>
      <c r="L57" s="61">
        <v>319456</v>
      </c>
    </row>
    <row r="58" spans="1:14" s="74" customFormat="1" ht="15.75" thickBot="1">
      <c r="A58" s="67">
        <v>42339</v>
      </c>
      <c r="B58" s="68">
        <f>1521680+1498913</f>
        <v>3020593</v>
      </c>
      <c r="C58" s="68">
        <f>208639+664276</f>
        <v>872915</v>
      </c>
      <c r="D58" s="68">
        <v>2025697</v>
      </c>
      <c r="E58" s="68">
        <v>404225</v>
      </c>
      <c r="F58" s="68">
        <v>170604</v>
      </c>
      <c r="G58" s="68">
        <v>48689</v>
      </c>
      <c r="H58" s="68">
        <v>607755</v>
      </c>
      <c r="I58" s="68">
        <v>261508</v>
      </c>
      <c r="J58" s="68">
        <v>9632</v>
      </c>
      <c r="K58" s="68">
        <v>27498</v>
      </c>
      <c r="L58" s="68">
        <v>307723</v>
      </c>
    </row>
    <row r="59" spans="1:14">
      <c r="A59" s="97">
        <v>42370</v>
      </c>
      <c r="B59" s="65">
        <v>3015657</v>
      </c>
      <c r="C59" s="66">
        <v>871826</v>
      </c>
      <c r="D59" s="66">
        <v>2046764</v>
      </c>
      <c r="E59" s="66">
        <v>408909</v>
      </c>
      <c r="F59" s="66">
        <v>173114</v>
      </c>
      <c r="G59" s="66">
        <v>47501</v>
      </c>
      <c r="H59" s="66">
        <v>632477</v>
      </c>
      <c r="I59" s="66">
        <v>263321</v>
      </c>
      <c r="J59" s="66">
        <v>8910</v>
      </c>
      <c r="K59" s="66">
        <v>27645</v>
      </c>
      <c r="L59" s="66">
        <v>318467</v>
      </c>
    </row>
    <row r="60" spans="1:14">
      <c r="A60" s="59">
        <v>42401</v>
      </c>
      <c r="B60" s="58">
        <v>2982766</v>
      </c>
      <c r="C60" s="61">
        <v>869779</v>
      </c>
      <c r="D60" s="61">
        <v>2044431</v>
      </c>
      <c r="E60" s="61">
        <v>418622</v>
      </c>
      <c r="F60" s="61">
        <v>175729</v>
      </c>
      <c r="G60" s="61">
        <v>45972</v>
      </c>
      <c r="H60" s="61">
        <v>659138</v>
      </c>
      <c r="I60" s="61">
        <v>263743</v>
      </c>
      <c r="J60" s="61">
        <v>8256</v>
      </c>
      <c r="K60" s="61">
        <v>26729</v>
      </c>
      <c r="L60" s="61">
        <v>307522</v>
      </c>
    </row>
    <row r="61" spans="1:14">
      <c r="A61" s="59">
        <v>42430</v>
      </c>
      <c r="B61" s="58">
        <v>2945552</v>
      </c>
      <c r="C61" s="61">
        <v>861770</v>
      </c>
      <c r="D61" s="61">
        <v>2045036</v>
      </c>
      <c r="E61" s="61">
        <v>419567</v>
      </c>
      <c r="F61" s="61">
        <v>178182</v>
      </c>
      <c r="G61" s="61">
        <v>44637</v>
      </c>
      <c r="H61" s="61">
        <v>687952</v>
      </c>
      <c r="I61" s="61">
        <v>264545</v>
      </c>
      <c r="J61" s="61">
        <v>8289</v>
      </c>
      <c r="K61" s="61">
        <v>27444</v>
      </c>
      <c r="L61" s="61">
        <v>310602</v>
      </c>
    </row>
    <row r="62" spans="1:14">
      <c r="A62" s="59">
        <v>42461</v>
      </c>
      <c r="B62" s="58">
        <v>2921871</v>
      </c>
      <c r="C62" s="61">
        <v>858126</v>
      </c>
      <c r="D62" s="61">
        <v>2043889</v>
      </c>
      <c r="E62" s="61">
        <v>423628</v>
      </c>
      <c r="F62" s="61">
        <v>179571</v>
      </c>
      <c r="G62" s="61">
        <v>44167</v>
      </c>
      <c r="H62" s="61">
        <v>699551</v>
      </c>
      <c r="I62" s="61">
        <v>264238</v>
      </c>
      <c r="J62" s="61">
        <v>8325</v>
      </c>
      <c r="K62" s="61">
        <v>28060</v>
      </c>
      <c r="L62" s="61">
        <v>312718</v>
      </c>
    </row>
    <row r="63" spans="1:14">
      <c r="A63" s="59">
        <v>42491</v>
      </c>
      <c r="B63" s="58">
        <v>2911641</v>
      </c>
      <c r="C63" s="61">
        <v>858297</v>
      </c>
      <c r="D63" s="61">
        <v>2035803</v>
      </c>
      <c r="E63" s="61">
        <v>424853</v>
      </c>
      <c r="F63" s="61">
        <v>181407</v>
      </c>
      <c r="G63" s="61">
        <v>43575</v>
      </c>
      <c r="H63" s="61">
        <v>716462</v>
      </c>
      <c r="I63" s="61">
        <v>265128</v>
      </c>
      <c r="J63" s="61">
        <v>8125</v>
      </c>
      <c r="K63" s="61">
        <v>28350</v>
      </c>
      <c r="L63" s="61">
        <v>310835</v>
      </c>
    </row>
    <row r="64" spans="1:14">
      <c r="A64" s="59">
        <v>42522</v>
      </c>
      <c r="B64" s="58">
        <v>2898245</v>
      </c>
      <c r="C64" s="61">
        <v>856903</v>
      </c>
      <c r="D64" s="61">
        <v>2043641</v>
      </c>
      <c r="E64" s="61">
        <v>423770</v>
      </c>
      <c r="F64" s="61">
        <v>183787</v>
      </c>
      <c r="G64" s="61">
        <v>42949</v>
      </c>
      <c r="H64" s="61">
        <v>729709</v>
      </c>
      <c r="I64" s="61">
        <v>266057</v>
      </c>
      <c r="J64" s="61">
        <v>4589</v>
      </c>
      <c r="K64" s="61">
        <v>19434</v>
      </c>
      <c r="L64" s="61">
        <v>309027</v>
      </c>
    </row>
    <row r="65" spans="1:12">
      <c r="A65" s="59">
        <v>42552</v>
      </c>
      <c r="B65" s="58">
        <v>2939969</v>
      </c>
      <c r="C65" s="61">
        <v>860449</v>
      </c>
      <c r="D65" s="61">
        <v>2043242</v>
      </c>
      <c r="E65" s="61">
        <v>419126</v>
      </c>
      <c r="F65" s="61">
        <v>186327</v>
      </c>
      <c r="G65" s="61">
        <v>42096</v>
      </c>
      <c r="H65" s="61">
        <v>750693</v>
      </c>
      <c r="I65" s="61">
        <v>267784</v>
      </c>
      <c r="J65" s="61">
        <v>4688</v>
      </c>
      <c r="K65" s="61">
        <v>19748</v>
      </c>
      <c r="L65" s="61">
        <v>313862</v>
      </c>
    </row>
    <row r="66" spans="1:12">
      <c r="A66" s="59">
        <v>42583</v>
      </c>
      <c r="B66" s="58">
        <v>2964029</v>
      </c>
      <c r="C66" s="61">
        <v>859716</v>
      </c>
      <c r="D66" s="61">
        <v>2042503</v>
      </c>
      <c r="E66" s="61">
        <v>417980</v>
      </c>
      <c r="F66" s="61">
        <v>189552</v>
      </c>
      <c r="G66" s="61">
        <v>41481</v>
      </c>
      <c r="H66" s="61">
        <v>772384</v>
      </c>
      <c r="I66" s="61">
        <v>270456</v>
      </c>
      <c r="J66" s="61">
        <v>4794</v>
      </c>
      <c r="K66" s="61">
        <v>20635</v>
      </c>
      <c r="L66" s="61">
        <v>316206</v>
      </c>
    </row>
    <row r="67" spans="1:12">
      <c r="A67" s="59">
        <v>42614</v>
      </c>
      <c r="B67" s="58">
        <v>2865591</v>
      </c>
      <c r="C67" s="61">
        <v>857593</v>
      </c>
      <c r="D67" s="61">
        <v>2038352</v>
      </c>
      <c r="E67" s="61">
        <v>413447</v>
      </c>
      <c r="F67" s="61">
        <v>193235</v>
      </c>
      <c r="G67" s="61">
        <v>40952</v>
      </c>
      <c r="H67" s="61">
        <v>795368</v>
      </c>
      <c r="I67" s="61">
        <v>273010</v>
      </c>
      <c r="J67" s="61">
        <v>4905</v>
      </c>
      <c r="K67" s="61">
        <v>21422</v>
      </c>
      <c r="L67" s="61">
        <v>318369</v>
      </c>
    </row>
    <row r="68" spans="1:12">
      <c r="A68" s="59">
        <v>42644</v>
      </c>
      <c r="B68" s="58">
        <v>2814951</v>
      </c>
      <c r="C68" s="61">
        <v>854265</v>
      </c>
      <c r="D68" s="61">
        <v>2046782</v>
      </c>
      <c r="E68" s="61">
        <v>407172</v>
      </c>
      <c r="F68" s="61">
        <v>198462</v>
      </c>
      <c r="G68" s="61">
        <v>40168</v>
      </c>
      <c r="H68" s="61">
        <v>817051</v>
      </c>
      <c r="I68" s="61">
        <v>276429</v>
      </c>
      <c r="J68" s="61">
        <v>4980</v>
      </c>
      <c r="K68" s="61">
        <v>22182</v>
      </c>
      <c r="L68" s="61">
        <v>321902</v>
      </c>
    </row>
    <row r="69" spans="1:12">
      <c r="A69" s="136">
        <v>42675</v>
      </c>
      <c r="B69" s="137">
        <v>2715751</v>
      </c>
      <c r="C69" s="138">
        <v>853558</v>
      </c>
      <c r="D69" s="138">
        <v>2055918</v>
      </c>
      <c r="E69" s="138">
        <v>405370</v>
      </c>
      <c r="F69" s="138">
        <v>204422</v>
      </c>
      <c r="G69" s="138">
        <v>39267</v>
      </c>
      <c r="H69" s="138">
        <v>841343</v>
      </c>
      <c r="I69" s="138">
        <v>280293</v>
      </c>
      <c r="J69" s="138">
        <v>4987</v>
      </c>
      <c r="K69" s="138">
        <v>22446</v>
      </c>
      <c r="L69" s="138">
        <v>321490</v>
      </c>
    </row>
    <row r="70" spans="1:12" s="74" customFormat="1" ht="15.75" thickBot="1">
      <c r="A70" s="67">
        <v>42705</v>
      </c>
      <c r="B70" s="69">
        <v>2751508</v>
      </c>
      <c r="C70" s="68">
        <v>858813</v>
      </c>
      <c r="D70" s="68">
        <v>2069197</v>
      </c>
      <c r="E70" s="68">
        <v>402060</v>
      </c>
      <c r="F70" s="68">
        <v>208380</v>
      </c>
      <c r="G70" s="68">
        <v>38058</v>
      </c>
      <c r="H70" s="68">
        <v>876377</v>
      </c>
      <c r="I70" s="68">
        <v>285081</v>
      </c>
      <c r="J70" s="68">
        <v>5002</v>
      </c>
      <c r="K70" s="68">
        <v>22803</v>
      </c>
      <c r="L70" s="68">
        <v>322650</v>
      </c>
    </row>
    <row r="71" spans="1:12">
      <c r="A71" s="97">
        <v>42736</v>
      </c>
      <c r="B71" s="65">
        <v>2749823</v>
      </c>
      <c r="C71" s="66">
        <v>858448</v>
      </c>
      <c r="D71" s="65">
        <v>2075359</v>
      </c>
      <c r="E71" s="65">
        <v>400339</v>
      </c>
      <c r="F71" s="66">
        <v>210026</v>
      </c>
      <c r="G71" s="66">
        <v>37455</v>
      </c>
      <c r="H71" s="65">
        <v>894180</v>
      </c>
      <c r="I71" s="65">
        <v>289309</v>
      </c>
      <c r="J71" s="139" t="s">
        <v>202</v>
      </c>
      <c r="K71" s="139" t="s">
        <v>202</v>
      </c>
      <c r="L71" s="139" t="s">
        <v>202</v>
      </c>
    </row>
    <row r="72" spans="1:12">
      <c r="A72" s="59">
        <v>42767</v>
      </c>
      <c r="B72" s="58">
        <v>2729807</v>
      </c>
      <c r="C72" s="61">
        <v>854924</v>
      </c>
      <c r="D72" s="58">
        <v>2073583</v>
      </c>
      <c r="E72" s="58">
        <v>396394</v>
      </c>
      <c r="F72" s="61">
        <v>212988</v>
      </c>
      <c r="G72" s="61">
        <v>36578</v>
      </c>
      <c r="H72" s="58">
        <v>897263</v>
      </c>
      <c r="I72" s="58">
        <v>292484</v>
      </c>
      <c r="J72" s="139" t="s">
        <v>202</v>
      </c>
      <c r="K72" s="139" t="s">
        <v>202</v>
      </c>
      <c r="L72" s="139" t="s">
        <v>202</v>
      </c>
    </row>
    <row r="73" spans="1:12">
      <c r="A73" s="59">
        <v>42795</v>
      </c>
      <c r="B73" s="58">
        <v>2696177</v>
      </c>
      <c r="C73" s="61">
        <v>849842</v>
      </c>
      <c r="D73" s="58">
        <v>2100564</v>
      </c>
      <c r="E73" s="58">
        <v>395458</v>
      </c>
      <c r="F73" s="61">
        <v>215990</v>
      </c>
      <c r="G73" s="61">
        <v>35879</v>
      </c>
      <c r="H73" s="58">
        <v>911985</v>
      </c>
      <c r="I73" s="58">
        <v>296389</v>
      </c>
      <c r="J73" s="139" t="s">
        <v>202</v>
      </c>
      <c r="K73" s="139" t="s">
        <v>202</v>
      </c>
      <c r="L73" s="139" t="s">
        <v>202</v>
      </c>
    </row>
    <row r="74" spans="1:12">
      <c r="A74" s="97">
        <v>42826</v>
      </c>
      <c r="B74" s="58">
        <v>2667244</v>
      </c>
      <c r="C74" s="61">
        <v>848890</v>
      </c>
      <c r="D74" s="58">
        <v>2089167</v>
      </c>
      <c r="E74" s="58">
        <v>396884</v>
      </c>
      <c r="F74" s="61">
        <v>218700</v>
      </c>
      <c r="G74" s="61">
        <v>35073</v>
      </c>
      <c r="H74" s="58">
        <v>923796</v>
      </c>
      <c r="I74" s="58">
        <v>298156</v>
      </c>
      <c r="J74" s="139" t="s">
        <v>202</v>
      </c>
      <c r="K74" s="139" t="s">
        <v>202</v>
      </c>
      <c r="L74" s="139" t="s">
        <v>202</v>
      </c>
    </row>
    <row r="75" spans="1:12">
      <c r="A75" s="59">
        <v>42856</v>
      </c>
      <c r="B75" s="58">
        <v>2640356</v>
      </c>
      <c r="C75" s="61">
        <v>846875</v>
      </c>
      <c r="D75" s="58">
        <v>2075414</v>
      </c>
      <c r="E75" s="58">
        <v>392683</v>
      </c>
      <c r="F75" s="61">
        <v>221700</v>
      </c>
      <c r="G75" s="61">
        <v>34393</v>
      </c>
      <c r="H75" s="58">
        <v>938602</v>
      </c>
      <c r="I75" s="58">
        <v>301937</v>
      </c>
      <c r="J75" s="139" t="s">
        <v>202</v>
      </c>
      <c r="K75" s="139" t="s">
        <v>202</v>
      </c>
      <c r="L75" s="139" t="s">
        <v>202</v>
      </c>
    </row>
    <row r="76" spans="1:12">
      <c r="A76" s="59">
        <v>42887</v>
      </c>
      <c r="B76" s="58">
        <v>2627338</v>
      </c>
      <c r="C76" s="61">
        <v>845088</v>
      </c>
      <c r="D76" s="58">
        <v>2069273</v>
      </c>
      <c r="E76" s="58">
        <v>387268</v>
      </c>
      <c r="F76" s="61">
        <v>224054</v>
      </c>
      <c r="G76" s="61">
        <v>34069</v>
      </c>
      <c r="H76" s="58">
        <v>948942</v>
      </c>
      <c r="I76" s="58">
        <v>303458</v>
      </c>
      <c r="J76" s="139" t="s">
        <v>202</v>
      </c>
      <c r="K76" s="139" t="s">
        <v>202</v>
      </c>
      <c r="L76" s="139" t="s">
        <v>202</v>
      </c>
    </row>
    <row r="77" spans="1:12">
      <c r="A77" s="59">
        <v>42917</v>
      </c>
      <c r="B77" s="58">
        <v>2610300</v>
      </c>
      <c r="C77" s="61">
        <v>845032</v>
      </c>
      <c r="D77" s="58">
        <v>2066860</v>
      </c>
      <c r="E77" s="58">
        <v>380315</v>
      </c>
      <c r="F77" s="11">
        <v>225950</v>
      </c>
      <c r="G77" s="11">
        <v>33623</v>
      </c>
      <c r="H77" s="58">
        <v>960470</v>
      </c>
      <c r="I77" s="58">
        <v>304487</v>
      </c>
      <c r="J77" s="139" t="s">
        <v>202</v>
      </c>
      <c r="K77" s="139" t="s">
        <v>202</v>
      </c>
      <c r="L77" s="139" t="s">
        <v>202</v>
      </c>
    </row>
    <row r="78" spans="1:12">
      <c r="A78" s="59">
        <v>42948</v>
      </c>
      <c r="B78" s="58">
        <v>2592628</v>
      </c>
      <c r="C78" s="61">
        <v>844877</v>
      </c>
      <c r="D78" s="58">
        <v>2064914</v>
      </c>
      <c r="E78" s="58">
        <v>376974</v>
      </c>
      <c r="F78" s="11">
        <v>228102</v>
      </c>
      <c r="G78" s="11">
        <v>33118</v>
      </c>
      <c r="H78" s="58">
        <v>978517</v>
      </c>
      <c r="I78" s="58">
        <v>306643</v>
      </c>
      <c r="J78" s="139" t="s">
        <v>202</v>
      </c>
      <c r="K78" s="139" t="s">
        <v>202</v>
      </c>
      <c r="L78" s="139" t="s">
        <v>202</v>
      </c>
    </row>
    <row r="79" spans="1:12">
      <c r="A79" s="59">
        <v>42979</v>
      </c>
      <c r="B79" s="58">
        <v>2572091</v>
      </c>
      <c r="C79" s="61">
        <v>843945</v>
      </c>
      <c r="D79" s="58">
        <v>2059278</v>
      </c>
      <c r="E79" s="58">
        <v>373113</v>
      </c>
      <c r="F79" s="11">
        <v>230819</v>
      </c>
      <c r="G79" s="11">
        <v>32581</v>
      </c>
      <c r="H79" s="58">
        <v>996440</v>
      </c>
      <c r="I79" s="58">
        <v>309476</v>
      </c>
      <c r="J79" s="139" t="s">
        <v>202</v>
      </c>
      <c r="K79" s="139" t="s">
        <v>202</v>
      </c>
      <c r="L79" s="139" t="s">
        <v>202</v>
      </c>
    </row>
    <row r="80" spans="1:12">
      <c r="A80" s="59">
        <v>43009</v>
      </c>
      <c r="B80" s="61">
        <v>2542489</v>
      </c>
      <c r="C80" s="61">
        <v>842775</v>
      </c>
      <c r="D80" s="61">
        <v>2054117.0000000002</v>
      </c>
      <c r="E80" s="61">
        <v>370320.99999999994</v>
      </c>
      <c r="F80" s="11">
        <v>232623</v>
      </c>
      <c r="G80" s="11">
        <v>32258</v>
      </c>
      <c r="H80" s="58">
        <v>1011518</v>
      </c>
      <c r="I80" s="58">
        <v>310622</v>
      </c>
      <c r="J80" s="139" t="s">
        <v>202</v>
      </c>
      <c r="K80" s="139" t="s">
        <v>202</v>
      </c>
      <c r="L80" s="139" t="s">
        <v>202</v>
      </c>
    </row>
    <row r="81" spans="1:12">
      <c r="A81" s="59">
        <v>43040</v>
      </c>
      <c r="B81" s="61">
        <v>2532469</v>
      </c>
      <c r="C81" s="61">
        <v>842051</v>
      </c>
      <c r="D81" s="61">
        <v>2044672</v>
      </c>
      <c r="E81" s="61">
        <v>367237</v>
      </c>
      <c r="F81" s="11">
        <v>234700</v>
      </c>
      <c r="G81" s="11">
        <v>31852</v>
      </c>
      <c r="H81" s="58">
        <v>1029804</v>
      </c>
      <c r="I81" s="58">
        <v>311044</v>
      </c>
      <c r="J81" s="139" t="s">
        <v>202</v>
      </c>
      <c r="K81" s="139" t="s">
        <v>202</v>
      </c>
      <c r="L81" s="139" t="s">
        <v>202</v>
      </c>
    </row>
    <row r="82" spans="1:12" ht="15.75" thickBot="1">
      <c r="A82" s="67">
        <v>43070</v>
      </c>
      <c r="B82" s="68">
        <v>2577153</v>
      </c>
      <c r="C82" s="68">
        <v>849533</v>
      </c>
      <c r="D82" s="68">
        <v>2041592</v>
      </c>
      <c r="E82" s="68">
        <v>364383.99999999994</v>
      </c>
      <c r="F82" s="145">
        <v>236058</v>
      </c>
      <c r="G82" s="145">
        <v>31714</v>
      </c>
      <c r="H82" s="69">
        <v>1056766</v>
      </c>
      <c r="I82" s="69">
        <v>311075</v>
      </c>
      <c r="J82" s="146" t="s">
        <v>202</v>
      </c>
      <c r="K82" s="146" t="s">
        <v>202</v>
      </c>
      <c r="L82" s="146" t="s">
        <v>202</v>
      </c>
    </row>
  </sheetData>
  <mergeCells count="158">
    <mergeCell ref="B40:C40"/>
    <mergeCell ref="D40:E40"/>
    <mergeCell ref="F40:G40"/>
    <mergeCell ref="H40:I40"/>
    <mergeCell ref="B38:C38"/>
    <mergeCell ref="D38:E38"/>
    <mergeCell ref="F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B37:C37"/>
    <mergeCell ref="D37:E37"/>
    <mergeCell ref="F37:G37"/>
    <mergeCell ref="H37:I37"/>
    <mergeCell ref="B34:C34"/>
    <mergeCell ref="D34:E34"/>
    <mergeCell ref="F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2:C22"/>
    <mergeCell ref="D22:E22"/>
    <mergeCell ref="F22:G22"/>
    <mergeCell ref="H22:I22"/>
    <mergeCell ref="B23:C23"/>
    <mergeCell ref="D23:E23"/>
    <mergeCell ref="F23:G23"/>
    <mergeCell ref="H23:I23"/>
    <mergeCell ref="B20:C20"/>
    <mergeCell ref="D20:E20"/>
    <mergeCell ref="F20:G20"/>
    <mergeCell ref="H20:I20"/>
    <mergeCell ref="B21:C21"/>
    <mergeCell ref="D21:E21"/>
    <mergeCell ref="F21:G21"/>
    <mergeCell ref="H21:I21"/>
    <mergeCell ref="D18:E18"/>
    <mergeCell ref="F18:G18"/>
    <mergeCell ref="H18:I18"/>
    <mergeCell ref="B19:C19"/>
    <mergeCell ref="D19:E19"/>
    <mergeCell ref="F19:G19"/>
    <mergeCell ref="H19:I19"/>
    <mergeCell ref="B18:C18"/>
    <mergeCell ref="D16:E16"/>
    <mergeCell ref="F16:G16"/>
    <mergeCell ref="H16:I16"/>
    <mergeCell ref="B17:C17"/>
    <mergeCell ref="D17:E17"/>
    <mergeCell ref="F17:G17"/>
    <mergeCell ref="H17:I17"/>
    <mergeCell ref="D14:E14"/>
    <mergeCell ref="F14:G14"/>
    <mergeCell ref="H14:I14"/>
    <mergeCell ref="B15:C15"/>
    <mergeCell ref="D15:E15"/>
    <mergeCell ref="F15:G15"/>
    <mergeCell ref="H15:I15"/>
    <mergeCell ref="B14:C14"/>
    <mergeCell ref="B16:C16"/>
    <mergeCell ref="D12:E12"/>
    <mergeCell ref="F12:G12"/>
    <mergeCell ref="H12:I12"/>
    <mergeCell ref="B13:C13"/>
    <mergeCell ref="D13:E13"/>
    <mergeCell ref="F13:G13"/>
    <mergeCell ref="H13:I13"/>
    <mergeCell ref="D10:E10"/>
    <mergeCell ref="F10:G10"/>
    <mergeCell ref="H10:I10"/>
    <mergeCell ref="B11:C11"/>
    <mergeCell ref="D11:E11"/>
    <mergeCell ref="F11:G11"/>
    <mergeCell ref="H11:I11"/>
    <mergeCell ref="B10:C10"/>
    <mergeCell ref="B12:C12"/>
    <mergeCell ref="D8:E8"/>
    <mergeCell ref="F8:G8"/>
    <mergeCell ref="H8:I8"/>
    <mergeCell ref="B9:C9"/>
    <mergeCell ref="D9:E9"/>
    <mergeCell ref="F9:G9"/>
    <mergeCell ref="H9:I9"/>
    <mergeCell ref="D6:E6"/>
    <mergeCell ref="F6:G6"/>
    <mergeCell ref="H6:I6"/>
    <mergeCell ref="B7:C7"/>
    <mergeCell ref="D7:E7"/>
    <mergeCell ref="F7:G7"/>
    <mergeCell ref="H7:I7"/>
    <mergeCell ref="B8:C8"/>
    <mergeCell ref="J1:L1"/>
    <mergeCell ref="B3:C3"/>
    <mergeCell ref="D3:E3"/>
    <mergeCell ref="F3:G3"/>
    <mergeCell ref="H3:I3"/>
    <mergeCell ref="A1:A2"/>
    <mergeCell ref="B1:C1"/>
    <mergeCell ref="B4:C4"/>
    <mergeCell ref="B6:C6"/>
    <mergeCell ref="D4:E4"/>
    <mergeCell ref="F4:G4"/>
    <mergeCell ref="H4:I4"/>
    <mergeCell ref="B5:C5"/>
    <mergeCell ref="D5:E5"/>
    <mergeCell ref="F5:G5"/>
    <mergeCell ref="H5:I5"/>
    <mergeCell ref="D1:E1"/>
    <mergeCell ref="F1:G1"/>
    <mergeCell ref="H1:I1"/>
  </mergeCells>
  <conditionalFormatting sqref="B3:B22 D3:D22 F4:F22 J11:L16 H11:H22">
    <cfRule type="cellIs" dxfId="7" priority="1" stopIfTrue="1" operator="lessThan">
      <formula>0</formula>
    </cfRule>
  </conditionalFormatting>
  <conditionalFormatting sqref="L3:L4 H3:H10">
    <cfRule type="cellIs" dxfId="6" priority="2" stopIfTrue="1" operator="lessThan">
      <formula>0</formula>
    </cfRule>
    <cfRule type="cellIs" dxfId="5" priority="3" stopIfTrue="1" operator="lessThan">
      <formula>0</formula>
    </cfRule>
    <cfRule type="cellIs" dxfId="4" priority="4" stopIfTrue="1" operator="lessThan">
      <formula>0</formula>
    </cfRule>
  </conditionalFormatting>
  <conditionalFormatting sqref="L5:L10">
    <cfRule type="cellIs" dxfId="3" priority="5" stopIfTrue="1" operator="lessThan">
      <formula>0</formula>
    </cfRule>
    <cfRule type="cellIs" dxfId="2" priority="6" stopIfTrue="1" operator="lessThan">
      <formula>0</formula>
    </cfRule>
    <cfRule type="cellIs" dxfId="1" priority="7" stopIfTrue="1" operator="lessThan">
      <formula>0</formula>
    </cfRule>
  </conditionalFormatting>
  <conditionalFormatting sqref="L17:L22">
    <cfRule type="cellIs" dxfId="0" priority="8" stopIfTrue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&amp;C&amp;"-,Negrita"Telefonía móvil e Internet móvil por medio de teléfonos inteligentes, tablets y otros dispositivos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C2:BA29"/>
  <sheetViews>
    <sheetView workbookViewId="0">
      <selection activeCell="C20" sqref="C20:C29"/>
    </sheetView>
  </sheetViews>
  <sheetFormatPr baseColWidth="10" defaultRowHeight="15"/>
  <cols>
    <col min="3" max="3" width="10.140625" bestFit="1" customWidth="1"/>
    <col min="4" max="4" width="12.5703125" bestFit="1" customWidth="1"/>
    <col min="43" max="43" width="12.5703125" bestFit="1" customWidth="1"/>
  </cols>
  <sheetData>
    <row r="2" spans="3:53">
      <c r="D2" s="246" t="s">
        <v>228</v>
      </c>
      <c r="E2" s="246"/>
      <c r="F2" s="246"/>
      <c r="G2" s="246"/>
      <c r="H2" s="246"/>
      <c r="I2" s="246"/>
      <c r="J2" s="246"/>
      <c r="K2" s="246"/>
      <c r="L2" s="246"/>
      <c r="M2" s="246"/>
      <c r="N2" s="246"/>
      <c r="Q2" s="246" t="s">
        <v>242</v>
      </c>
      <c r="R2" s="246"/>
      <c r="S2" s="246"/>
      <c r="T2" s="246"/>
      <c r="U2" s="246"/>
      <c r="V2" s="246"/>
      <c r="W2" s="246"/>
      <c r="X2" s="246"/>
      <c r="Y2" s="246"/>
      <c r="Z2" s="246"/>
      <c r="AA2" s="246"/>
      <c r="AD2" s="246" t="s">
        <v>245</v>
      </c>
      <c r="AE2" s="246"/>
      <c r="AF2" s="246"/>
      <c r="AG2" s="246"/>
      <c r="AH2" s="246"/>
      <c r="AI2" s="246"/>
      <c r="AJ2" s="246"/>
      <c r="AK2" s="246"/>
      <c r="AL2" s="246"/>
      <c r="AM2" s="246"/>
      <c r="AN2" s="246"/>
      <c r="AQ2" s="246" t="s">
        <v>247</v>
      </c>
      <c r="AR2" s="246"/>
      <c r="AS2" s="246"/>
      <c r="AT2" s="246"/>
      <c r="AU2" s="246"/>
      <c r="AV2" s="246"/>
      <c r="AW2" s="246"/>
      <c r="AX2" s="246"/>
      <c r="AY2" s="246"/>
      <c r="AZ2" s="246"/>
      <c r="BA2" s="246"/>
    </row>
    <row r="3" spans="3:53" ht="15.75" thickBot="1"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</row>
    <row r="4" spans="3:53">
      <c r="C4" s="248" t="s">
        <v>229</v>
      </c>
      <c r="D4" s="250" t="s">
        <v>230</v>
      </c>
      <c r="E4" s="252" t="s">
        <v>231</v>
      </c>
      <c r="F4" s="252"/>
      <c r="G4" s="252"/>
      <c r="H4" s="252"/>
      <c r="I4" s="166"/>
      <c r="J4" s="252" t="s">
        <v>232</v>
      </c>
      <c r="K4" s="252"/>
      <c r="L4" s="252"/>
      <c r="M4" s="252"/>
      <c r="N4" s="167"/>
      <c r="P4" s="248" t="s">
        <v>229</v>
      </c>
      <c r="Q4" s="250" t="s">
        <v>230</v>
      </c>
      <c r="R4" s="252" t="s">
        <v>231</v>
      </c>
      <c r="S4" s="252"/>
      <c r="T4" s="252"/>
      <c r="U4" s="252"/>
      <c r="V4" s="166"/>
      <c r="W4" s="252" t="s">
        <v>232</v>
      </c>
      <c r="X4" s="252"/>
      <c r="Y4" s="252"/>
      <c r="Z4" s="252"/>
      <c r="AA4" s="167"/>
      <c r="AC4" s="248" t="s">
        <v>229</v>
      </c>
      <c r="AD4" s="250" t="s">
        <v>230</v>
      </c>
      <c r="AE4" s="252" t="s">
        <v>231</v>
      </c>
      <c r="AF4" s="252"/>
      <c r="AG4" s="252"/>
      <c r="AH4" s="252"/>
      <c r="AI4" s="166"/>
      <c r="AJ4" s="252" t="s">
        <v>232</v>
      </c>
      <c r="AK4" s="252"/>
      <c r="AL4" s="252"/>
      <c r="AM4" s="252"/>
      <c r="AN4" s="167"/>
      <c r="AP4" s="248" t="s">
        <v>229</v>
      </c>
      <c r="AQ4" s="250" t="s">
        <v>230</v>
      </c>
      <c r="AR4" s="252" t="s">
        <v>231</v>
      </c>
      <c r="AS4" s="252"/>
      <c r="AT4" s="252"/>
      <c r="AU4" s="252"/>
      <c r="AV4" s="166"/>
      <c r="AW4" s="252" t="s">
        <v>232</v>
      </c>
      <c r="AX4" s="252"/>
      <c r="AY4" s="252"/>
      <c r="AZ4" s="252"/>
      <c r="BA4" s="167"/>
    </row>
    <row r="5" spans="3:53" ht="15.75" thickBot="1">
      <c r="C5" s="249"/>
      <c r="D5" s="251"/>
      <c r="E5" s="168" t="s">
        <v>233</v>
      </c>
      <c r="F5" s="168" t="s">
        <v>234</v>
      </c>
      <c r="G5" s="168" t="s">
        <v>235</v>
      </c>
      <c r="H5" s="168" t="s">
        <v>236</v>
      </c>
      <c r="I5" s="168" t="s">
        <v>237</v>
      </c>
      <c r="J5" s="168" t="s">
        <v>238</v>
      </c>
      <c r="K5" s="168" t="s">
        <v>239</v>
      </c>
      <c r="L5" s="168" t="s">
        <v>235</v>
      </c>
      <c r="M5" s="168" t="s">
        <v>240</v>
      </c>
      <c r="N5" s="169" t="s">
        <v>241</v>
      </c>
      <c r="P5" s="249"/>
      <c r="Q5" s="251"/>
      <c r="R5" s="168" t="s">
        <v>233</v>
      </c>
      <c r="S5" s="168" t="s">
        <v>243</v>
      </c>
      <c r="T5" s="168" t="s">
        <v>235</v>
      </c>
      <c r="U5" s="168" t="s">
        <v>236</v>
      </c>
      <c r="V5" s="168" t="s">
        <v>237</v>
      </c>
      <c r="W5" s="168" t="s">
        <v>238</v>
      </c>
      <c r="X5" s="168" t="s">
        <v>244</v>
      </c>
      <c r="Y5" s="168" t="s">
        <v>235</v>
      </c>
      <c r="Z5" s="168" t="s">
        <v>240</v>
      </c>
      <c r="AA5" s="169" t="s">
        <v>241</v>
      </c>
      <c r="AC5" s="249"/>
      <c r="AD5" s="251"/>
      <c r="AE5" s="168" t="s">
        <v>233</v>
      </c>
      <c r="AF5" s="168" t="s">
        <v>243</v>
      </c>
      <c r="AG5" s="168" t="s">
        <v>234</v>
      </c>
      <c r="AH5" s="168" t="s">
        <v>235</v>
      </c>
      <c r="AI5" s="168" t="s">
        <v>237</v>
      </c>
      <c r="AJ5" s="168" t="s">
        <v>238</v>
      </c>
      <c r="AK5" s="168" t="s">
        <v>244</v>
      </c>
      <c r="AL5" s="168" t="s">
        <v>234</v>
      </c>
      <c r="AM5" s="168" t="s">
        <v>246</v>
      </c>
      <c r="AN5" s="169" t="s">
        <v>241</v>
      </c>
      <c r="AP5" s="249"/>
      <c r="AQ5" s="251"/>
      <c r="AR5" s="168" t="s">
        <v>233</v>
      </c>
      <c r="AS5" s="168" t="s">
        <v>243</v>
      </c>
      <c r="AT5" s="168" t="s">
        <v>234</v>
      </c>
      <c r="AU5" s="168" t="s">
        <v>236</v>
      </c>
      <c r="AV5" s="168" t="s">
        <v>237</v>
      </c>
      <c r="AW5" s="168" t="s">
        <v>238</v>
      </c>
      <c r="AX5" s="168" t="s">
        <v>244</v>
      </c>
      <c r="AY5" s="168" t="s">
        <v>234</v>
      </c>
      <c r="AZ5" s="168" t="s">
        <v>240</v>
      </c>
      <c r="BA5" s="169" t="s">
        <v>241</v>
      </c>
    </row>
    <row r="6" spans="3:53">
      <c r="C6" s="160">
        <v>42736</v>
      </c>
      <c r="D6" s="161">
        <f>17590093414/60</f>
        <v>293168223.56666666</v>
      </c>
      <c r="E6" s="161">
        <f>476651633/60</f>
        <v>7944193.8833333338</v>
      </c>
      <c r="F6" s="161">
        <f>1923047498/60</f>
        <v>32050791.633333333</v>
      </c>
      <c r="G6" s="161">
        <f>1101297549/60</f>
        <v>18354959.149999999</v>
      </c>
      <c r="H6" s="161">
        <f>71233111/60</f>
        <v>1187218.5166666666</v>
      </c>
      <c r="I6" s="161">
        <f>50503020/60</f>
        <v>841717</v>
      </c>
      <c r="J6" s="161">
        <f>210530708/60</f>
        <v>3508845.1333333333</v>
      </c>
      <c r="K6" s="161">
        <f>1931958385/60</f>
        <v>32199306.416666668</v>
      </c>
      <c r="L6" s="161">
        <f>1524402204/60</f>
        <v>25406703.399999999</v>
      </c>
      <c r="M6" s="161">
        <f>72685433/60</f>
        <v>1211423.8833333333</v>
      </c>
      <c r="N6" s="161">
        <f>311696117/60</f>
        <v>5194935.2833333332</v>
      </c>
      <c r="P6" s="160">
        <v>42736</v>
      </c>
      <c r="Q6" s="161">
        <v>60370466.399999999</v>
      </c>
      <c r="R6" s="161">
        <v>2687802.45</v>
      </c>
      <c r="S6" s="161">
        <v>31928556.866666667</v>
      </c>
      <c r="T6" s="161">
        <v>5868628.2166666668</v>
      </c>
      <c r="U6" s="161">
        <v>388854.98333333334</v>
      </c>
      <c r="V6" s="161">
        <v>185445.9</v>
      </c>
      <c r="W6" s="161">
        <v>1316608.55</v>
      </c>
      <c r="X6" s="161">
        <v>32053934.766666666</v>
      </c>
      <c r="Y6" s="161">
        <v>7460416.7666666666</v>
      </c>
      <c r="Z6" s="161">
        <v>345156.65</v>
      </c>
      <c r="AA6" s="161">
        <v>1027471.4833333333</v>
      </c>
      <c r="AC6" s="160">
        <v>42736</v>
      </c>
      <c r="AD6" s="170">
        <v>980191.91666666663</v>
      </c>
      <c r="AE6" s="170">
        <v>289113.66666666669</v>
      </c>
      <c r="AF6" s="170">
        <v>1211423.8833333333</v>
      </c>
      <c r="AG6" s="170">
        <v>345156.65</v>
      </c>
      <c r="AH6" s="170">
        <v>279627.18333333335</v>
      </c>
      <c r="AI6" s="170">
        <v>22308.133333333335</v>
      </c>
      <c r="AJ6" s="170">
        <v>103001.35</v>
      </c>
      <c r="AK6" s="170">
        <v>1187218.5166666666</v>
      </c>
      <c r="AL6" s="170">
        <v>388854.98333333334</v>
      </c>
      <c r="AM6" s="170">
        <v>402452.75</v>
      </c>
      <c r="AN6" s="170">
        <v>53227.033333333333</v>
      </c>
      <c r="AP6" s="160">
        <v>42736</v>
      </c>
      <c r="AQ6" s="161">
        <v>153307821.69580001</v>
      </c>
      <c r="AR6" s="161">
        <v>2126308.8333333335</v>
      </c>
      <c r="AS6" s="161">
        <v>25406703.399999999</v>
      </c>
      <c r="AT6" s="161">
        <v>7459178.7000000002</v>
      </c>
      <c r="AU6" s="161">
        <v>402452.75</v>
      </c>
      <c r="AV6" s="161">
        <v>929620</v>
      </c>
      <c r="AW6" s="161">
        <v>939508.71666666667</v>
      </c>
      <c r="AX6" s="161">
        <v>18354959.149999999</v>
      </c>
      <c r="AY6" s="161">
        <v>5866130.2000000002</v>
      </c>
      <c r="AZ6" s="161">
        <v>279627.18333333335</v>
      </c>
      <c r="BA6" s="171">
        <v>0</v>
      </c>
    </row>
    <row r="7" spans="3:53">
      <c r="C7" s="162">
        <v>42767</v>
      </c>
      <c r="D7" s="5">
        <f>16521217174/60</f>
        <v>275353619.56666666</v>
      </c>
      <c r="E7" s="5">
        <f>442807172/60</f>
        <v>7380119.5333333332</v>
      </c>
      <c r="F7" s="5">
        <f>1828280458/60</f>
        <v>30471340.966666665</v>
      </c>
      <c r="G7" s="5">
        <f>1065804378/60</f>
        <v>17763406.300000001</v>
      </c>
      <c r="H7" s="5">
        <f>65218878/60</f>
        <v>1086981.3</v>
      </c>
      <c r="I7" s="5">
        <f>102184020/60</f>
        <v>1703067</v>
      </c>
      <c r="J7" s="5">
        <f>200765503/60</f>
        <v>3346091.7166666668</v>
      </c>
      <c r="K7" s="5">
        <f>1814739318/60</f>
        <v>30245655.300000001</v>
      </c>
      <c r="L7" s="5">
        <f>1419868449/60</f>
        <v>23664474.149999999</v>
      </c>
      <c r="M7" s="5">
        <f>65874498/60</f>
        <v>1097908.3</v>
      </c>
      <c r="N7" s="5">
        <f>287312914/60</f>
        <v>4788548.5666666664</v>
      </c>
      <c r="P7" s="162">
        <v>42767</v>
      </c>
      <c r="Q7" s="5">
        <v>55265485.616666667</v>
      </c>
      <c r="R7" s="5">
        <v>2457356.2000000002</v>
      </c>
      <c r="S7" s="5">
        <v>29338206.600000001</v>
      </c>
      <c r="T7" s="5">
        <v>5511382.6333333338</v>
      </c>
      <c r="U7" s="5">
        <v>353697.83333333331</v>
      </c>
      <c r="V7" s="5">
        <v>163921.1</v>
      </c>
      <c r="W7" s="5">
        <v>1226087.3999999999</v>
      </c>
      <c r="X7" s="5">
        <v>29771384.566666666</v>
      </c>
      <c r="Y7" s="5">
        <v>6824113.6333333338</v>
      </c>
      <c r="Z7" s="5">
        <v>304828.71666666667</v>
      </c>
      <c r="AA7" s="5">
        <v>857466.2</v>
      </c>
      <c r="AC7" s="162">
        <v>42767</v>
      </c>
      <c r="AD7" s="11">
        <v>956484.41666666663</v>
      </c>
      <c r="AE7" s="11">
        <v>251923.23333333334</v>
      </c>
      <c r="AF7" s="11">
        <v>1097908.3</v>
      </c>
      <c r="AG7" s="11">
        <v>304828.71666666667</v>
      </c>
      <c r="AH7" s="11">
        <v>257757.05</v>
      </c>
      <c r="AI7" s="11">
        <v>22747.666666666668</v>
      </c>
      <c r="AJ7" s="11">
        <v>92974.516666666663</v>
      </c>
      <c r="AK7" s="11">
        <v>1086981.3</v>
      </c>
      <c r="AL7" s="11">
        <v>353697.83333333331</v>
      </c>
      <c r="AM7" s="11">
        <v>356321.75</v>
      </c>
      <c r="AN7" s="11">
        <v>51775.55</v>
      </c>
      <c r="AP7" s="162">
        <v>42767</v>
      </c>
      <c r="AQ7" s="5">
        <v>145116801.4666</v>
      </c>
      <c r="AR7" s="5">
        <v>1988623.2833333334</v>
      </c>
      <c r="AS7" s="5">
        <v>23664474.149999999</v>
      </c>
      <c r="AT7" s="5">
        <v>6985856.666666667</v>
      </c>
      <c r="AU7" s="5">
        <v>356321.75</v>
      </c>
      <c r="AV7" s="5">
        <v>768982</v>
      </c>
      <c r="AW7" s="5">
        <v>915850.81666666665</v>
      </c>
      <c r="AX7" s="5">
        <v>17763406.300000001</v>
      </c>
      <c r="AY7" s="5">
        <v>5631572.4000000004</v>
      </c>
      <c r="AZ7" s="5">
        <v>257757.05</v>
      </c>
      <c r="BA7" s="172">
        <v>0</v>
      </c>
    </row>
    <row r="8" spans="3:53">
      <c r="C8" s="162">
        <v>42795</v>
      </c>
      <c r="D8" s="5">
        <f>18075821827/60</f>
        <v>301263697.11666667</v>
      </c>
      <c r="E8" s="5">
        <f>507939750/60</f>
        <v>8465662.5</v>
      </c>
      <c r="F8" s="5">
        <f>2040535363/60</f>
        <v>34008922.716666669</v>
      </c>
      <c r="G8" s="5">
        <f>1199945914/60</f>
        <v>19999098.566666666</v>
      </c>
      <c r="H8" s="5">
        <f>71812278/60</f>
        <v>1196871.3</v>
      </c>
      <c r="I8" s="5">
        <f>46994040/60</f>
        <v>783234</v>
      </c>
      <c r="J8" s="5">
        <f>232436076/60</f>
        <v>3873934.6</v>
      </c>
      <c r="K8" s="5">
        <f>2020443051/60</f>
        <v>33674050.850000001</v>
      </c>
      <c r="L8" s="5">
        <f>1581661467/60</f>
        <v>26361024.449999999</v>
      </c>
      <c r="M8" s="5">
        <f>71898254/60</f>
        <v>1198304.2333333334</v>
      </c>
      <c r="N8" s="5">
        <f>292110968/60</f>
        <v>4868516.1333333338</v>
      </c>
      <c r="P8" s="162">
        <v>42795</v>
      </c>
      <c r="Q8" s="5">
        <v>62026992.633333333</v>
      </c>
      <c r="R8" s="5">
        <v>2893414.0333333332</v>
      </c>
      <c r="S8" s="5">
        <v>33413093.633333333</v>
      </c>
      <c r="T8" s="5">
        <v>6384340.6333333338</v>
      </c>
      <c r="U8" s="5">
        <v>389104.75</v>
      </c>
      <c r="V8" s="5">
        <v>181492.78333333333</v>
      </c>
      <c r="W8" s="5">
        <v>1486200.2666666666</v>
      </c>
      <c r="X8" s="5">
        <v>33072581.666666668</v>
      </c>
      <c r="Y8" s="5">
        <v>7776887.4500000002</v>
      </c>
      <c r="Z8" s="5">
        <v>337972.41666666669</v>
      </c>
      <c r="AA8" s="5">
        <v>1024295.7666666667</v>
      </c>
      <c r="AC8" s="162">
        <v>42795</v>
      </c>
      <c r="AD8" s="11">
        <v>1063778.3999999999</v>
      </c>
      <c r="AE8" s="11">
        <v>285884.38333333336</v>
      </c>
      <c r="AF8" s="11">
        <v>1198304.2333333334</v>
      </c>
      <c r="AG8" s="11">
        <v>337972.41666666669</v>
      </c>
      <c r="AH8" s="11">
        <v>283849.76666666666</v>
      </c>
      <c r="AI8" s="11">
        <v>26987.516666666666</v>
      </c>
      <c r="AJ8" s="11">
        <v>107470.05</v>
      </c>
      <c r="AK8" s="11">
        <v>1196871.3</v>
      </c>
      <c r="AL8" s="11">
        <v>389104.75</v>
      </c>
      <c r="AM8" s="11">
        <v>382423.21666666667</v>
      </c>
      <c r="AN8" s="11">
        <v>52059</v>
      </c>
      <c r="AP8" s="162">
        <v>42795</v>
      </c>
      <c r="AQ8" s="5">
        <v>161721241.2969</v>
      </c>
      <c r="AR8" s="5">
        <v>2242905.7833333332</v>
      </c>
      <c r="AS8" s="5">
        <v>26361024.449999999</v>
      </c>
      <c r="AT8" s="5">
        <v>7781775.5333333332</v>
      </c>
      <c r="AU8" s="5">
        <v>382423.21666666667</v>
      </c>
      <c r="AV8" s="5">
        <v>828684</v>
      </c>
      <c r="AW8" s="5">
        <v>1100979.1666666667</v>
      </c>
      <c r="AX8" s="5">
        <v>19999098.566666666</v>
      </c>
      <c r="AY8" s="5">
        <v>6377700.8666666662</v>
      </c>
      <c r="AZ8" s="5">
        <v>283849.76666666666</v>
      </c>
      <c r="BA8" s="172">
        <v>0</v>
      </c>
    </row>
    <row r="9" spans="3:53">
      <c r="C9" s="162">
        <v>42826</v>
      </c>
      <c r="D9" s="5">
        <f>15995903005/60</f>
        <v>266598383.41666666</v>
      </c>
      <c r="E9" s="5">
        <f>413546470/60</f>
        <v>6892441.166666667</v>
      </c>
      <c r="F9" s="5">
        <f>1806530881/60</f>
        <v>30108848.016666666</v>
      </c>
      <c r="G9" s="5">
        <f>1072798139/60</f>
        <v>17879968.983333334</v>
      </c>
      <c r="H9" s="5">
        <f>58817710/60</f>
        <v>980295.16666666663</v>
      </c>
      <c r="I9" s="5">
        <f>37459260/60</f>
        <v>624321</v>
      </c>
      <c r="J9" s="5">
        <f>189724730/60</f>
        <v>3162078.8333333335</v>
      </c>
      <c r="K9" s="5">
        <f>1791501900/60</f>
        <v>29858365</v>
      </c>
      <c r="L9" s="5">
        <f>1386100812/60</f>
        <v>23101680.199999999</v>
      </c>
      <c r="M9" s="5">
        <f>59229254/60</f>
        <v>987154.23333333328</v>
      </c>
      <c r="N9" s="5">
        <f>291920287/60</f>
        <v>4865338.1166666662</v>
      </c>
      <c r="P9" s="162">
        <v>42826</v>
      </c>
      <c r="Q9" s="5">
        <v>54935115.783333331</v>
      </c>
      <c r="R9" s="5">
        <v>2351676.6333333333</v>
      </c>
      <c r="S9" s="5">
        <v>29625645.25</v>
      </c>
      <c r="T9" s="5">
        <v>5762353.6166666662</v>
      </c>
      <c r="U9" s="5">
        <v>336034.43333333335</v>
      </c>
      <c r="V9" s="5">
        <v>167779.03333333333</v>
      </c>
      <c r="W9" s="5">
        <v>1255008.8</v>
      </c>
      <c r="X9" s="5">
        <v>30107192.216666665</v>
      </c>
      <c r="Y9" s="5">
        <v>6938515.0999999996</v>
      </c>
      <c r="Z9" s="5">
        <v>293339.18333333335</v>
      </c>
      <c r="AA9" s="5">
        <v>1007549.15</v>
      </c>
      <c r="AC9" s="162">
        <v>42826</v>
      </c>
      <c r="AD9" s="11">
        <v>897924.6166666667</v>
      </c>
      <c r="AE9" s="11">
        <v>235647.18333333332</v>
      </c>
      <c r="AF9" s="11">
        <v>987154.23333333328</v>
      </c>
      <c r="AG9" s="11">
        <v>293339.18333333335</v>
      </c>
      <c r="AH9" s="11">
        <v>249947.8</v>
      </c>
      <c r="AI9" s="11">
        <v>18565.766666666666</v>
      </c>
      <c r="AJ9" s="11">
        <v>86889.05</v>
      </c>
      <c r="AK9" s="11">
        <v>980295.16666666663</v>
      </c>
      <c r="AL9" s="11">
        <v>336034.43333333335</v>
      </c>
      <c r="AM9" s="11">
        <v>335495.58333333331</v>
      </c>
      <c r="AN9" s="11">
        <v>38354.116666666669</v>
      </c>
      <c r="AP9" s="162">
        <v>42826</v>
      </c>
      <c r="AQ9" s="5">
        <v>143956897.86379999</v>
      </c>
      <c r="AR9" s="5">
        <v>1846468.5333333334</v>
      </c>
      <c r="AS9" s="5">
        <v>23101680.199999999</v>
      </c>
      <c r="AT9" s="5">
        <v>6939582.5333333332</v>
      </c>
      <c r="AU9" s="5">
        <v>335495.58333333331</v>
      </c>
      <c r="AV9" s="5">
        <v>736599</v>
      </c>
      <c r="AW9" s="5">
        <v>953841.28333333333</v>
      </c>
      <c r="AX9" s="5">
        <v>17879968.983333334</v>
      </c>
      <c r="AY9" s="5">
        <v>5752476.333333333</v>
      </c>
      <c r="AZ9" s="5">
        <v>249947.8</v>
      </c>
      <c r="BA9" s="172">
        <v>0</v>
      </c>
    </row>
    <row r="10" spans="3:53">
      <c r="C10" s="162">
        <v>42856</v>
      </c>
      <c r="D10" s="5">
        <f>17140839901/60</f>
        <v>285680665.01666665</v>
      </c>
      <c r="E10" s="5">
        <f>471112771/60</f>
        <v>7851879.5166666666</v>
      </c>
      <c r="F10" s="5">
        <f>1968186757/60</f>
        <v>32803112.616666667</v>
      </c>
      <c r="G10" s="5">
        <f>1182154032/60</f>
        <v>19702567.199999999</v>
      </c>
      <c r="H10" s="5">
        <f>63873335/60</f>
        <v>1064555.5833333333</v>
      </c>
      <c r="I10" s="5">
        <f>39201840/60</f>
        <v>653364</v>
      </c>
      <c r="J10" s="5">
        <f>211984505/60</f>
        <v>3533075.0833333335</v>
      </c>
      <c r="K10" s="5">
        <f>1994683406/60</f>
        <v>33244723.433333334</v>
      </c>
      <c r="L10" s="5">
        <f>1491727519/60</f>
        <v>24862125.316666666</v>
      </c>
      <c r="M10" s="5">
        <f>64136544/60</f>
        <v>1068942.3999999999</v>
      </c>
      <c r="N10" s="5">
        <f>324623143/60</f>
        <v>5410385.7166666668</v>
      </c>
      <c r="P10" s="162">
        <v>42856</v>
      </c>
      <c r="Q10" s="5">
        <v>59975024.216666669</v>
      </c>
      <c r="R10" s="5">
        <v>2705919.0166666666</v>
      </c>
      <c r="S10" s="5">
        <v>32979672.633333333</v>
      </c>
      <c r="T10" s="5">
        <v>6505815.4333333336</v>
      </c>
      <c r="U10" s="5">
        <v>363705.11666666664</v>
      </c>
      <c r="V10" s="5">
        <v>171325.33333333334</v>
      </c>
      <c r="W10" s="5">
        <v>1386891.0833333333</v>
      </c>
      <c r="X10" s="5">
        <v>32458756.366666667</v>
      </c>
      <c r="Y10" s="5">
        <v>7519160.2666666666</v>
      </c>
      <c r="Z10" s="5">
        <v>315367.91666666669</v>
      </c>
      <c r="AA10" s="5">
        <v>1111909.5666666667</v>
      </c>
      <c r="AC10" s="162">
        <v>42856</v>
      </c>
      <c r="AD10" s="11">
        <v>965380.56666666665</v>
      </c>
      <c r="AE10" s="11">
        <v>259679.81666666668</v>
      </c>
      <c r="AF10" s="11">
        <v>1068942.3999999999</v>
      </c>
      <c r="AG10" s="11">
        <v>315367.91666666669</v>
      </c>
      <c r="AH10" s="11">
        <v>271735.88333333336</v>
      </c>
      <c r="AI10" s="11">
        <v>17787.033333333333</v>
      </c>
      <c r="AJ10" s="11">
        <v>93261.016666666663</v>
      </c>
      <c r="AK10" s="11">
        <v>1064555.5833333333</v>
      </c>
      <c r="AL10" s="11">
        <v>363705.11666666664</v>
      </c>
      <c r="AM10" s="11">
        <v>356462.11666666664</v>
      </c>
      <c r="AN10" s="11">
        <v>43985.366666666669</v>
      </c>
      <c r="AP10" s="162">
        <v>42856</v>
      </c>
      <c r="AQ10" s="5">
        <v>160456953.93299997</v>
      </c>
      <c r="AR10" s="5">
        <v>2111954.3833333333</v>
      </c>
      <c r="AS10" s="5">
        <v>24862125.316666666</v>
      </c>
      <c r="AT10" s="5">
        <v>7521314.9666666668</v>
      </c>
      <c r="AU10" s="5">
        <v>356462.11666666664</v>
      </c>
      <c r="AV10" s="5">
        <v>595883</v>
      </c>
      <c r="AW10" s="5">
        <v>1092439.4333333333</v>
      </c>
      <c r="AX10" s="5">
        <v>19702567.199999999</v>
      </c>
      <c r="AY10" s="5">
        <v>6501652.4666666668</v>
      </c>
      <c r="AZ10" s="5">
        <v>271735.88333333336</v>
      </c>
      <c r="BA10" s="172">
        <v>0</v>
      </c>
    </row>
    <row r="11" spans="3:53">
      <c r="C11" s="162">
        <v>42887</v>
      </c>
      <c r="D11" s="5">
        <f>16610626903/60</f>
        <v>276843781.71666664</v>
      </c>
      <c r="E11" s="5">
        <f>431232294/60</f>
        <v>7187204.9000000004</v>
      </c>
      <c r="F11" s="5">
        <f>1935791630/60</f>
        <v>32263193.833333332</v>
      </c>
      <c r="G11" s="5">
        <f>1168206750/60</f>
        <v>19470112.5</v>
      </c>
      <c r="H11" s="5">
        <f>61490456/60</f>
        <v>1024840.9333333333</v>
      </c>
      <c r="I11" s="5">
        <f>35822820/60</f>
        <v>597047</v>
      </c>
      <c r="J11" s="5">
        <f>203117882/60</f>
        <v>3385298.0333333332</v>
      </c>
      <c r="K11" s="5">
        <f>1984154886/60</f>
        <v>33069248.100000001</v>
      </c>
      <c r="L11" s="5">
        <f>1464189537/60</f>
        <v>24403158.949999999</v>
      </c>
      <c r="M11" s="5">
        <f>60256022/60</f>
        <v>1004267.0333333333</v>
      </c>
      <c r="N11" s="5">
        <f>308892382/60</f>
        <v>5148206.3666666662</v>
      </c>
      <c r="P11" s="162">
        <v>42887</v>
      </c>
      <c r="Q11" s="5">
        <v>58533814.866666667</v>
      </c>
      <c r="R11" s="5">
        <v>2545821.9666666668</v>
      </c>
      <c r="S11" s="5">
        <v>32784446.483333334</v>
      </c>
      <c r="T11" s="5">
        <v>6497693.7833333332</v>
      </c>
      <c r="U11" s="5">
        <v>350487.5</v>
      </c>
      <c r="V11" s="5">
        <v>157044.79999999999</v>
      </c>
      <c r="W11" s="5">
        <v>1331722.4166666667</v>
      </c>
      <c r="X11" s="5">
        <v>29657084.883333333</v>
      </c>
      <c r="Y11" s="5">
        <v>7413332.3833333338</v>
      </c>
      <c r="Z11" s="5">
        <v>297770.2</v>
      </c>
      <c r="AA11" s="5">
        <v>1011399.2</v>
      </c>
      <c r="AC11" s="162">
        <v>42887</v>
      </c>
      <c r="AD11" s="11">
        <v>919815.46666666667</v>
      </c>
      <c r="AE11" s="11">
        <v>233558.45</v>
      </c>
      <c r="AF11" s="11">
        <v>1004267.0333333333</v>
      </c>
      <c r="AG11" s="11">
        <v>297770.2</v>
      </c>
      <c r="AH11" s="11">
        <v>255608.25</v>
      </c>
      <c r="AI11" s="11">
        <v>16285.383333333333</v>
      </c>
      <c r="AJ11" s="11">
        <v>86584.21666666666</v>
      </c>
      <c r="AK11" s="11">
        <v>1024840.9333333333</v>
      </c>
      <c r="AL11" s="11">
        <v>350487.5</v>
      </c>
      <c r="AM11" s="11">
        <v>356462.11666666664</v>
      </c>
      <c r="AN11" s="11">
        <v>44493.666666666664</v>
      </c>
      <c r="AP11" s="162">
        <v>42887</v>
      </c>
      <c r="AQ11" s="5">
        <v>150848321.90509996</v>
      </c>
      <c r="AR11" s="5">
        <v>1978341.9166666667</v>
      </c>
      <c r="AS11" s="5">
        <v>24403158.949999999</v>
      </c>
      <c r="AT11" s="5">
        <v>7415447.083333333</v>
      </c>
      <c r="AU11" s="5">
        <v>356462.11666666664</v>
      </c>
      <c r="AV11" s="5">
        <v>493812</v>
      </c>
      <c r="AW11" s="5">
        <v>1030688.8166666667</v>
      </c>
      <c r="AX11" s="5">
        <v>19470112.5</v>
      </c>
      <c r="AY11" s="5">
        <v>6498141.9333333336</v>
      </c>
      <c r="AZ11" s="5">
        <v>255608.25</v>
      </c>
      <c r="BA11" s="172">
        <v>0</v>
      </c>
    </row>
    <row r="12" spans="3:53">
      <c r="C12" s="162">
        <v>42917</v>
      </c>
      <c r="D12" s="5">
        <f>17183866695/60</f>
        <v>286397778.25</v>
      </c>
      <c r="E12" s="5">
        <f>444194218/60</f>
        <v>7403236.9666666668</v>
      </c>
      <c r="F12" s="5">
        <f>2059338782/60</f>
        <v>34322313.033333331</v>
      </c>
      <c r="G12" s="5">
        <f>1239133434/60</f>
        <v>20652223.899999999</v>
      </c>
      <c r="H12" s="5">
        <f>62995391/60</f>
        <v>1049923.1833333333</v>
      </c>
      <c r="I12" s="5">
        <f>44290020/60</f>
        <v>738167</v>
      </c>
      <c r="J12" s="5">
        <f>298450154/60</f>
        <v>4974169.2333333334</v>
      </c>
      <c r="K12" s="5">
        <f>2121715352/60</f>
        <v>35361922.533333331</v>
      </c>
      <c r="L12" s="5">
        <f>1543813047/60</f>
        <v>25730217.449999999</v>
      </c>
      <c r="M12" s="5">
        <f>61604763/60</f>
        <v>1026746.05</v>
      </c>
      <c r="N12" s="5">
        <f>298450154/60</f>
        <v>4974169.2333333334</v>
      </c>
      <c r="P12" s="162">
        <v>42917</v>
      </c>
      <c r="Q12" s="5">
        <v>61513479.5</v>
      </c>
      <c r="R12" s="5">
        <v>2630051.25</v>
      </c>
      <c r="S12" s="5">
        <v>35005190.783333331</v>
      </c>
      <c r="T12" s="5">
        <v>7011128.3833333338</v>
      </c>
      <c r="U12" s="5">
        <v>350323.65</v>
      </c>
      <c r="V12" s="5">
        <v>163426.08333333334</v>
      </c>
      <c r="W12" s="5">
        <v>1339506.8500000001</v>
      </c>
      <c r="X12" s="5">
        <v>31912762.899999999</v>
      </c>
      <c r="Y12" s="5">
        <v>7996642.5</v>
      </c>
      <c r="Z12" s="5">
        <v>296831.21666666667</v>
      </c>
      <c r="AA12" s="5">
        <v>1059820.8999999999</v>
      </c>
      <c r="AC12" s="162">
        <v>42917</v>
      </c>
      <c r="AD12" s="11">
        <v>932214.6</v>
      </c>
      <c r="AE12" s="11">
        <v>236967.68333333332</v>
      </c>
      <c r="AF12" s="11">
        <v>1026746.05</v>
      </c>
      <c r="AG12" s="11">
        <v>296831.21666666667</v>
      </c>
      <c r="AH12" s="11">
        <v>262713.81666666665</v>
      </c>
      <c r="AI12" s="11">
        <v>16787.616666666665</v>
      </c>
      <c r="AJ12" s="11">
        <v>88147.46666666666</v>
      </c>
      <c r="AK12" s="11">
        <v>1049923.1833333333</v>
      </c>
      <c r="AL12" s="11">
        <v>350323.65</v>
      </c>
      <c r="AM12" s="11">
        <v>365864.6</v>
      </c>
      <c r="AN12" s="11">
        <v>44773.15</v>
      </c>
      <c r="AP12" s="162">
        <v>42917</v>
      </c>
      <c r="AQ12" s="5">
        <v>49940505.283333331</v>
      </c>
      <c r="AR12" s="5">
        <v>2093932.3166666667</v>
      </c>
      <c r="AS12" s="5">
        <v>25730217.449999999</v>
      </c>
      <c r="AT12" s="5">
        <v>7998930.1333333338</v>
      </c>
      <c r="AU12" s="5">
        <v>365864.6</v>
      </c>
      <c r="AV12" s="5">
        <v>833025</v>
      </c>
      <c r="AW12" s="5">
        <v>1043355.35</v>
      </c>
      <c r="AX12" s="5">
        <v>20652223.899999999</v>
      </c>
      <c r="AY12" s="5">
        <v>7020257.1500000004</v>
      </c>
      <c r="AZ12" s="5">
        <v>262713.81666666665</v>
      </c>
      <c r="BA12" s="172">
        <v>0</v>
      </c>
    </row>
    <row r="13" spans="3:53">
      <c r="C13" s="162">
        <v>42948</v>
      </c>
      <c r="D13" s="5">
        <f>17103538082/60</f>
        <v>285058968.03333336</v>
      </c>
      <c r="E13" s="5">
        <f>456883882/60</f>
        <v>7614731.3666666662</v>
      </c>
      <c r="F13" s="5">
        <f>2079231877/60</f>
        <v>34653864.616666667</v>
      </c>
      <c r="G13" s="5">
        <f>1254890820/60</f>
        <v>20914847</v>
      </c>
      <c r="H13" s="5">
        <f>62448021/60</f>
        <v>1040800.35</v>
      </c>
      <c r="I13" s="5">
        <f>37572120/60</f>
        <v>626202</v>
      </c>
      <c r="J13" s="5">
        <f>282752319/60</f>
        <v>4712538.6500000004</v>
      </c>
      <c r="K13" s="5">
        <f>2128568799/60</f>
        <v>35476146.649999999</v>
      </c>
      <c r="L13" s="5">
        <f>1541555325/60</f>
        <v>25692588.75</v>
      </c>
      <c r="M13" s="5">
        <f>59475558/60</f>
        <v>991259.3</v>
      </c>
      <c r="N13" s="5">
        <f>282752319/60</f>
        <v>4712538.6500000004</v>
      </c>
      <c r="P13" s="162">
        <v>42948</v>
      </c>
      <c r="Q13" s="5">
        <v>61831767.983333334</v>
      </c>
      <c r="R13" s="5">
        <v>2699903.9333333331</v>
      </c>
      <c r="S13" s="5">
        <v>35166234.93333333</v>
      </c>
      <c r="T13" s="5">
        <v>7163267.0333333332</v>
      </c>
      <c r="U13" s="5">
        <v>357171.25</v>
      </c>
      <c r="V13" s="5">
        <v>158241.46666666667</v>
      </c>
      <c r="W13" s="5">
        <v>1361709.4666666666</v>
      </c>
      <c r="X13" s="5">
        <v>32296726.316666666</v>
      </c>
      <c r="Y13" s="5">
        <v>8090994.9833333334</v>
      </c>
      <c r="Z13" s="5">
        <v>299438.21666666667</v>
      </c>
      <c r="AA13" s="5">
        <v>1088501.2666666666</v>
      </c>
      <c r="AC13" s="162">
        <v>42948</v>
      </c>
      <c r="AD13" s="11">
        <v>923105.01666666672</v>
      </c>
      <c r="AE13" s="11">
        <v>236250.73333333334</v>
      </c>
      <c r="AF13" s="11">
        <v>991259.3</v>
      </c>
      <c r="AG13" s="11">
        <v>299438.21666666667</v>
      </c>
      <c r="AH13" s="11">
        <v>260322.9</v>
      </c>
      <c r="AI13" s="11">
        <v>16307.316666666668</v>
      </c>
      <c r="AJ13" s="11">
        <v>89601.916666666672</v>
      </c>
      <c r="AK13" s="11">
        <v>1040800.35</v>
      </c>
      <c r="AL13" s="11">
        <v>357171.25</v>
      </c>
      <c r="AM13" s="11">
        <v>346558.03333333333</v>
      </c>
      <c r="AN13" s="11">
        <v>45683.333333333336</v>
      </c>
      <c r="AP13" s="162">
        <v>42948</v>
      </c>
      <c r="AQ13" s="5">
        <v>50548306.850000001</v>
      </c>
      <c r="AR13" s="5">
        <v>2155261.2000000002</v>
      </c>
      <c r="AS13" s="5">
        <v>25692588.75</v>
      </c>
      <c r="AT13" s="5">
        <v>8091752.6166666662</v>
      </c>
      <c r="AU13" s="5">
        <v>346558.03333333333</v>
      </c>
      <c r="AV13" s="5">
        <v>760492</v>
      </c>
      <c r="AW13" s="5">
        <v>1078962.8999999999</v>
      </c>
      <c r="AX13" s="5">
        <v>20914847</v>
      </c>
      <c r="AY13" s="5">
        <v>7167399.75</v>
      </c>
      <c r="AZ13" s="5">
        <v>260322.9</v>
      </c>
      <c r="BA13" s="172">
        <v>0</v>
      </c>
    </row>
    <row r="14" spans="3:53">
      <c r="C14" s="162">
        <v>42979</v>
      </c>
      <c r="D14" s="5">
        <f>16417416792/60</f>
        <v>273623613.19999999</v>
      </c>
      <c r="E14" s="5">
        <f>434352594/60</f>
        <v>7239209.9000000004</v>
      </c>
      <c r="F14" s="5">
        <f>2032579569/60</f>
        <v>33876326.149999999</v>
      </c>
      <c r="G14" s="5">
        <f>1227901341/60</f>
        <v>20465022.350000001</v>
      </c>
      <c r="H14" s="5">
        <f>58983722/60</f>
        <v>983062.03333333333</v>
      </c>
      <c r="I14" s="5">
        <f>34265340/60</f>
        <v>571089</v>
      </c>
      <c r="J14" s="5">
        <f>290859728/60</f>
        <v>4847662.1333333338</v>
      </c>
      <c r="K14" s="5">
        <f>2071539883/60</f>
        <v>34525664.716666669</v>
      </c>
      <c r="L14" s="5">
        <f>1499409536/60</f>
        <v>24990158.933333334</v>
      </c>
      <c r="M14" s="5">
        <f>56555641/60</f>
        <v>942594.01666666672</v>
      </c>
      <c r="N14" s="5">
        <f>290859728/60</f>
        <v>4847662.1333333338</v>
      </c>
      <c r="P14" s="162">
        <v>42979</v>
      </c>
      <c r="Q14" s="5">
        <v>60212837.81666667</v>
      </c>
      <c r="R14" s="5">
        <v>2568737.4500000002</v>
      </c>
      <c r="S14" s="5">
        <v>34263323.216666669</v>
      </c>
      <c r="T14" s="5">
        <v>6995993.0999999996</v>
      </c>
      <c r="U14" s="5">
        <v>327608.26666666666</v>
      </c>
      <c r="V14" s="5">
        <v>151032.61666666667</v>
      </c>
      <c r="W14" s="5">
        <v>1273991.05</v>
      </c>
      <c r="X14" s="5">
        <v>28494941.233333334</v>
      </c>
      <c r="Y14" s="5">
        <v>7970158.666666667</v>
      </c>
      <c r="Z14" s="5">
        <v>271371.2</v>
      </c>
      <c r="AA14" s="5">
        <v>1197925.1333333333</v>
      </c>
      <c r="AC14" s="162">
        <v>42979</v>
      </c>
      <c r="AD14" s="11">
        <v>867130.93333333335</v>
      </c>
      <c r="AE14" s="11">
        <v>221208.65</v>
      </c>
      <c r="AF14" s="11">
        <v>942594.01666666672</v>
      </c>
      <c r="AG14" s="11">
        <v>271371.2</v>
      </c>
      <c r="AH14" s="11">
        <v>251009.76666666666</v>
      </c>
      <c r="AI14" s="11">
        <v>16091.9</v>
      </c>
      <c r="AJ14" s="11">
        <v>82846.649999999994</v>
      </c>
      <c r="AK14" s="11">
        <v>983062.03333333333</v>
      </c>
      <c r="AL14" s="11">
        <v>327608.26666666666</v>
      </c>
      <c r="AM14" s="11">
        <v>336480.46666666667</v>
      </c>
      <c r="AN14" s="11">
        <v>41938.133333333331</v>
      </c>
      <c r="AP14" s="162">
        <v>42979</v>
      </c>
      <c r="AQ14" s="5">
        <v>49374123.233333334</v>
      </c>
      <c r="AR14" s="5">
        <v>2069297.15</v>
      </c>
      <c r="AS14" s="5">
        <v>24990158.933333334</v>
      </c>
      <c r="AT14" s="5">
        <v>7971310.9833333334</v>
      </c>
      <c r="AU14" s="5">
        <v>336480.46666666667</v>
      </c>
      <c r="AV14" s="5">
        <v>752182</v>
      </c>
      <c r="AW14" s="5">
        <v>1051576.7333333334</v>
      </c>
      <c r="AX14" s="5">
        <v>20465022.350000001</v>
      </c>
      <c r="AY14" s="5">
        <v>6999020.3833333338</v>
      </c>
      <c r="AZ14" s="5">
        <v>251009.76666666666</v>
      </c>
      <c r="BA14" s="172">
        <v>0</v>
      </c>
    </row>
    <row r="15" spans="3:53">
      <c r="C15" s="162">
        <v>43009</v>
      </c>
      <c r="D15" s="5">
        <f>15925835325/60</f>
        <v>265430588.75</v>
      </c>
      <c r="E15" s="5">
        <f>461728899/60</f>
        <v>7695481.6500000004</v>
      </c>
      <c r="F15" s="5">
        <f>2030796318/60</f>
        <v>33846605.299999997</v>
      </c>
      <c r="G15" s="5">
        <f>1225365805/60</f>
        <v>20422763.416666668</v>
      </c>
      <c r="H15" s="5">
        <f>58524176/60</f>
        <v>975402.93333333335</v>
      </c>
      <c r="I15" s="5">
        <f>35024820/60</f>
        <v>583747</v>
      </c>
      <c r="J15" s="5">
        <f>401911278/60</f>
        <v>6698521.2999999998</v>
      </c>
      <c r="K15" s="5">
        <f>2073274050/60</f>
        <v>34554567.5</v>
      </c>
      <c r="L15" s="5">
        <f>1526375326/60</f>
        <v>25439588.766666666</v>
      </c>
      <c r="M15" s="5">
        <f>57559329/60</f>
        <v>959322.15</v>
      </c>
      <c r="N15" s="5">
        <f>401911278/60</f>
        <v>6698521.2999999998</v>
      </c>
      <c r="P15" s="162">
        <v>43009</v>
      </c>
      <c r="Q15" s="5">
        <v>60651416.93333333</v>
      </c>
      <c r="R15" s="5">
        <v>2742918.9333333331</v>
      </c>
      <c r="S15" s="5">
        <v>34218976.149999999</v>
      </c>
      <c r="T15" s="5">
        <v>7144087.0999999996</v>
      </c>
      <c r="U15" s="5">
        <v>332624.21666666667</v>
      </c>
      <c r="V15" s="5">
        <v>153531.96666666667</v>
      </c>
      <c r="W15" s="5">
        <v>1283221.8333333333</v>
      </c>
      <c r="X15" s="5">
        <v>33847005</v>
      </c>
      <c r="Y15" s="5">
        <v>8237750.5</v>
      </c>
      <c r="Z15" s="5">
        <v>287303.86666666664</v>
      </c>
      <c r="AA15" s="5">
        <v>1679296.0833333333</v>
      </c>
      <c r="AC15" s="162">
        <v>43009</v>
      </c>
      <c r="AD15" s="11">
        <v>862642.4</v>
      </c>
      <c r="AE15" s="11">
        <v>230088.4</v>
      </c>
      <c r="AF15" s="11">
        <v>959322.15</v>
      </c>
      <c r="AG15" s="11">
        <v>287303.86666666664</v>
      </c>
      <c r="AH15" s="11">
        <v>260654.48333333334</v>
      </c>
      <c r="AI15" s="11">
        <v>16849.983333333334</v>
      </c>
      <c r="AJ15" s="11">
        <v>82694.883333333331</v>
      </c>
      <c r="AK15" s="11">
        <v>975402.93333333335</v>
      </c>
      <c r="AL15" s="11">
        <v>332624.21666666667</v>
      </c>
      <c r="AM15" s="11">
        <v>328859.91666666669</v>
      </c>
      <c r="AN15" s="11">
        <v>45742.433333333334</v>
      </c>
      <c r="AP15" s="162">
        <v>43009</v>
      </c>
      <c r="AQ15" s="5">
        <v>51439816.399999999</v>
      </c>
      <c r="AR15" s="5">
        <v>2248515.7833333332</v>
      </c>
      <c r="AS15" s="5">
        <v>25439588.766666666</v>
      </c>
      <c r="AT15" s="5">
        <v>8238876.9666666668</v>
      </c>
      <c r="AU15" s="5">
        <v>328859.91666666669</v>
      </c>
      <c r="AV15" s="5">
        <v>978062</v>
      </c>
      <c r="AW15" s="5">
        <v>2024806.9333333333</v>
      </c>
      <c r="AX15" s="5">
        <v>20422763.416666668</v>
      </c>
      <c r="AY15" s="5">
        <v>7181117.333333333</v>
      </c>
      <c r="AZ15" s="5">
        <v>260654.48333333334</v>
      </c>
      <c r="BA15" s="172">
        <v>0</v>
      </c>
    </row>
    <row r="16" spans="3:53">
      <c r="C16" s="163">
        <v>43040</v>
      </c>
      <c r="D16" s="5">
        <f>15770522404/60</f>
        <v>262842040.06666666</v>
      </c>
      <c r="E16" s="5">
        <f>452777122/60</f>
        <v>7546285.3666666662</v>
      </c>
      <c r="F16" s="5">
        <f>2060760524/60</f>
        <v>34346008.733333334</v>
      </c>
      <c r="G16" s="5">
        <f>1232958752/60</f>
        <v>20549312.533333335</v>
      </c>
      <c r="H16" s="5">
        <f>57913573/60</f>
        <v>965226.21666666667</v>
      </c>
      <c r="I16" s="5">
        <f>33366540/60</f>
        <v>556109</v>
      </c>
      <c r="J16" s="5">
        <f>356617454/60</f>
        <v>5943624.2333333334</v>
      </c>
      <c r="K16" s="5">
        <f>2107501038/60</f>
        <v>35125017.299999997</v>
      </c>
      <c r="L16" s="5">
        <f>1570936408/60</f>
        <v>26182273.466666665</v>
      </c>
      <c r="M16" s="5">
        <f>57671415/60</f>
        <v>961190.25</v>
      </c>
      <c r="N16" s="5">
        <f>356617454/60</f>
        <v>5943624.2333333334</v>
      </c>
      <c r="P16" s="163">
        <v>43040</v>
      </c>
      <c r="Q16" s="5">
        <v>60366275.733333334</v>
      </c>
      <c r="R16" s="5">
        <v>2773979.55</v>
      </c>
      <c r="S16" s="5">
        <v>34811582.399999999</v>
      </c>
      <c r="T16" s="5">
        <v>7339900.0166666666</v>
      </c>
      <c r="U16" s="5">
        <v>333297.03333333333</v>
      </c>
      <c r="V16" s="5">
        <v>148857.15</v>
      </c>
      <c r="W16" s="5">
        <v>1328574.4166666667</v>
      </c>
      <c r="X16" s="5">
        <v>34346004.75</v>
      </c>
      <c r="Y16" s="5">
        <v>8715242.8833333328</v>
      </c>
      <c r="Z16" s="5">
        <v>290120.91666666669</v>
      </c>
      <c r="AA16" s="5">
        <v>1641238.7333333334</v>
      </c>
      <c r="AC16" s="163">
        <v>43040</v>
      </c>
      <c r="AD16" s="11">
        <v>796226.01666666672</v>
      </c>
      <c r="AE16" s="11">
        <v>232789.41666666666</v>
      </c>
      <c r="AF16" s="11">
        <v>961190.25</v>
      </c>
      <c r="AG16" s="11">
        <v>290120.91666666669</v>
      </c>
      <c r="AH16" s="11">
        <v>262579.11666666664</v>
      </c>
      <c r="AI16" s="11">
        <v>15629.25</v>
      </c>
      <c r="AJ16" s="11">
        <v>82830.600000000006</v>
      </c>
      <c r="AK16" s="11">
        <v>965226.21666666667</v>
      </c>
      <c r="AL16" s="11">
        <v>333297.03333333333</v>
      </c>
      <c r="AM16" s="11">
        <v>335416.21666666667</v>
      </c>
      <c r="AN16" s="11">
        <v>38379.033333333333</v>
      </c>
      <c r="AP16" s="163">
        <v>43040</v>
      </c>
      <c r="AQ16" s="5">
        <v>50058574.700000003</v>
      </c>
      <c r="AR16" s="5">
        <v>2264792.5333333332</v>
      </c>
      <c r="AS16" s="5">
        <v>26182273.466666665</v>
      </c>
      <c r="AT16" s="5">
        <v>8716812.7833333332</v>
      </c>
      <c r="AU16" s="5">
        <v>335416.21666666667</v>
      </c>
      <c r="AV16" s="5">
        <v>776717</v>
      </c>
      <c r="AW16" s="5">
        <v>2035756.5166666666</v>
      </c>
      <c r="AX16" s="5">
        <v>20549312.533333335</v>
      </c>
      <c r="AY16" s="5">
        <v>7360482.1333333338</v>
      </c>
      <c r="AZ16" s="5">
        <v>262579.11666666664</v>
      </c>
      <c r="BA16" s="172">
        <v>0</v>
      </c>
    </row>
    <row r="17" spans="3:53" ht="15.75" thickBot="1">
      <c r="C17" s="164">
        <v>43070</v>
      </c>
      <c r="D17" s="165">
        <f>15960844116/60</f>
        <v>266014068.59999999</v>
      </c>
      <c r="E17" s="165">
        <f>457216086/60</f>
        <v>7620268.0999999996</v>
      </c>
      <c r="F17" s="165">
        <f>2201193319/60</f>
        <v>36686555.31666667</v>
      </c>
      <c r="G17" s="165">
        <f>1314010748/60</f>
        <v>21900179.133333333</v>
      </c>
      <c r="H17" s="165">
        <f>59694999/60</f>
        <v>994916.65</v>
      </c>
      <c r="I17" s="165">
        <f>38871480/60</f>
        <v>647858</v>
      </c>
      <c r="J17" s="165">
        <f>389491572/60</f>
        <v>6491526.2000000002</v>
      </c>
      <c r="K17" s="165">
        <f>2260018642/60</f>
        <v>37666977.366666667</v>
      </c>
      <c r="L17" s="165">
        <f>1687336605/60</f>
        <v>28122276.75</v>
      </c>
      <c r="M17" s="165">
        <f>59532094/60</f>
        <v>992201.56666666665</v>
      </c>
      <c r="N17" s="165">
        <f>389491572/60</f>
        <v>6491526.2000000002</v>
      </c>
      <c r="P17" s="164">
        <v>43070</v>
      </c>
      <c r="Q17" s="165">
        <v>61509551.216666669</v>
      </c>
      <c r="R17" s="165">
        <v>2822703.5</v>
      </c>
      <c r="S17" s="165">
        <v>37326995.149999999</v>
      </c>
      <c r="T17" s="165">
        <v>7924265.0666666664</v>
      </c>
      <c r="U17" s="165">
        <v>350967.83333333331</v>
      </c>
      <c r="V17" s="165">
        <v>171408.41666666666</v>
      </c>
      <c r="W17" s="165">
        <v>1194985</v>
      </c>
      <c r="X17" s="165">
        <v>35535743.833333336</v>
      </c>
      <c r="Y17" s="165">
        <v>9192963.8000000007</v>
      </c>
      <c r="Z17" s="165">
        <v>284811.98333333334</v>
      </c>
      <c r="AA17" s="165">
        <v>1809109.4333333333</v>
      </c>
      <c r="AC17" s="164">
        <v>43070</v>
      </c>
      <c r="AD17" s="145">
        <v>730658.51666666672</v>
      </c>
      <c r="AE17" s="145">
        <v>237342.15</v>
      </c>
      <c r="AF17" s="145">
        <v>992201.56666666665</v>
      </c>
      <c r="AG17" s="145">
        <v>284811.98333333334</v>
      </c>
      <c r="AH17" s="145">
        <v>264986.3</v>
      </c>
      <c r="AI17" s="145">
        <v>17187.016666666666</v>
      </c>
      <c r="AJ17" s="145">
        <v>72778.416666666672</v>
      </c>
      <c r="AK17" s="145">
        <v>994916.65</v>
      </c>
      <c r="AL17" s="145">
        <v>350967.83333333331</v>
      </c>
      <c r="AM17" s="145">
        <v>345028.7</v>
      </c>
      <c r="AN17" s="145">
        <v>35227.5</v>
      </c>
      <c r="AP17" s="164">
        <v>43070</v>
      </c>
      <c r="AQ17" s="165">
        <v>50628929.483333334</v>
      </c>
      <c r="AR17" s="165">
        <v>2336758.7000000002</v>
      </c>
      <c r="AS17" s="165">
        <v>28122276.75</v>
      </c>
      <c r="AT17" s="165">
        <v>9499349.9083333332</v>
      </c>
      <c r="AU17" s="165">
        <v>345028.7</v>
      </c>
      <c r="AV17" s="165">
        <v>893056</v>
      </c>
      <c r="AW17" s="165">
        <v>2083697.2166666666</v>
      </c>
      <c r="AX17" s="165">
        <v>21900179.133333333</v>
      </c>
      <c r="AY17" s="165">
        <v>7942793.8166666664</v>
      </c>
      <c r="AZ17" s="165">
        <v>264986.3</v>
      </c>
      <c r="BA17" s="173">
        <v>0</v>
      </c>
    </row>
    <row r="20" spans="3:53">
      <c r="C20" t="s">
        <v>280</v>
      </c>
    </row>
    <row r="21" spans="3:53">
      <c r="C21" t="s">
        <v>281</v>
      </c>
    </row>
    <row r="22" spans="3:53">
      <c r="C22" t="s">
        <v>282</v>
      </c>
    </row>
    <row r="23" spans="3:53">
      <c r="C23" t="s">
        <v>283</v>
      </c>
    </row>
    <row r="24" spans="3:53">
      <c r="C24" t="s">
        <v>284</v>
      </c>
    </row>
    <row r="25" spans="3:53">
      <c r="C25" t="s">
        <v>285</v>
      </c>
    </row>
    <row r="26" spans="3:53">
      <c r="C26" t="s">
        <v>286</v>
      </c>
    </row>
    <row r="27" spans="3:53">
      <c r="C27" t="s">
        <v>287</v>
      </c>
    </row>
    <row r="28" spans="3:53">
      <c r="C28" t="s">
        <v>288</v>
      </c>
    </row>
    <row r="29" spans="3:53">
      <c r="C29" t="s">
        <v>289</v>
      </c>
    </row>
  </sheetData>
  <mergeCells count="20">
    <mergeCell ref="Q2:AA3"/>
    <mergeCell ref="P4:P5"/>
    <mergeCell ref="Q4:Q5"/>
    <mergeCell ref="R4:U4"/>
    <mergeCell ref="W4:Z4"/>
    <mergeCell ref="D2:N3"/>
    <mergeCell ref="C4:C5"/>
    <mergeCell ref="D4:D5"/>
    <mergeCell ref="E4:H4"/>
    <mergeCell ref="J4:M4"/>
    <mergeCell ref="AQ2:BA3"/>
    <mergeCell ref="AP4:AP5"/>
    <mergeCell ref="AQ4:AQ5"/>
    <mergeCell ref="AR4:AU4"/>
    <mergeCell ref="AW4:AZ4"/>
    <mergeCell ref="AD2:AN3"/>
    <mergeCell ref="AC4:AC5"/>
    <mergeCell ref="AD4:AD5"/>
    <mergeCell ref="AE4:AH4"/>
    <mergeCell ref="AJ4:AM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AV29"/>
  <sheetViews>
    <sheetView topLeftCell="A7" workbookViewId="0">
      <selection activeCell="A22" sqref="A22:XFD22"/>
    </sheetView>
  </sheetViews>
  <sheetFormatPr baseColWidth="10" defaultRowHeight="15"/>
  <cols>
    <col min="3" max="3" width="12.5703125" bestFit="1" customWidth="1"/>
  </cols>
  <sheetData>
    <row r="2" spans="2:48" ht="15" customHeight="1">
      <c r="C2" s="253" t="s">
        <v>248</v>
      </c>
      <c r="D2" s="253"/>
      <c r="E2" s="253"/>
      <c r="F2" s="253"/>
      <c r="G2" s="253"/>
      <c r="H2" s="253"/>
      <c r="I2" s="253"/>
      <c r="J2" s="253"/>
      <c r="K2" s="253"/>
      <c r="O2" s="253" t="s">
        <v>252</v>
      </c>
      <c r="P2" s="253"/>
      <c r="Q2" s="253"/>
      <c r="R2" s="253"/>
      <c r="S2" s="253"/>
      <c r="T2" s="253"/>
      <c r="U2" s="253"/>
      <c r="V2" s="253"/>
      <c r="W2" s="253"/>
      <c r="AB2" s="253" t="s">
        <v>254</v>
      </c>
      <c r="AC2" s="253"/>
      <c r="AD2" s="253"/>
      <c r="AE2" s="253"/>
      <c r="AF2" s="253"/>
      <c r="AG2" s="253"/>
      <c r="AH2" s="253"/>
      <c r="AI2" s="253"/>
      <c r="AJ2" s="253"/>
      <c r="AN2" s="253" t="s">
        <v>247</v>
      </c>
      <c r="AO2" s="253"/>
      <c r="AP2" s="253"/>
      <c r="AQ2" s="253"/>
      <c r="AR2" s="253"/>
      <c r="AS2" s="253"/>
      <c r="AT2" s="253"/>
      <c r="AU2" s="253"/>
      <c r="AV2" s="253"/>
    </row>
    <row r="3" spans="2:48" ht="15.75" customHeight="1" thickBot="1">
      <c r="C3" s="254"/>
      <c r="D3" s="254"/>
      <c r="E3" s="254"/>
      <c r="F3" s="254"/>
      <c r="G3" s="254"/>
      <c r="H3" s="254"/>
      <c r="I3" s="254"/>
      <c r="J3" s="254"/>
      <c r="K3" s="254"/>
      <c r="O3" s="254"/>
      <c r="P3" s="254"/>
      <c r="Q3" s="254"/>
      <c r="R3" s="254"/>
      <c r="S3" s="254"/>
      <c r="T3" s="254"/>
      <c r="U3" s="254"/>
      <c r="V3" s="254"/>
      <c r="W3" s="254"/>
      <c r="AB3" s="254"/>
      <c r="AC3" s="254"/>
      <c r="AD3" s="254"/>
      <c r="AE3" s="254"/>
      <c r="AF3" s="254"/>
      <c r="AG3" s="254"/>
      <c r="AH3" s="254"/>
      <c r="AI3" s="254"/>
      <c r="AJ3" s="254"/>
      <c r="AN3" s="254"/>
      <c r="AO3" s="254"/>
      <c r="AP3" s="254"/>
      <c r="AQ3" s="254"/>
      <c r="AR3" s="254"/>
      <c r="AS3" s="254"/>
      <c r="AT3" s="254"/>
      <c r="AU3" s="254"/>
      <c r="AV3" s="254"/>
    </row>
    <row r="4" spans="2:48" ht="15.75">
      <c r="B4" s="258" t="s">
        <v>229</v>
      </c>
      <c r="C4" s="260" t="s">
        <v>230</v>
      </c>
      <c r="D4" s="262" t="s">
        <v>249</v>
      </c>
      <c r="E4" s="263"/>
      <c r="F4" s="263"/>
      <c r="G4" s="263"/>
      <c r="H4" s="263"/>
      <c r="I4" s="263"/>
      <c r="J4" s="263"/>
      <c r="K4" s="264"/>
      <c r="N4" s="248" t="s">
        <v>229</v>
      </c>
      <c r="O4" s="250" t="s">
        <v>230</v>
      </c>
      <c r="P4" s="255" t="s">
        <v>249</v>
      </c>
      <c r="Q4" s="256"/>
      <c r="R4" s="256"/>
      <c r="S4" s="256"/>
      <c r="T4" s="256"/>
      <c r="U4" s="256"/>
      <c r="V4" s="256"/>
      <c r="W4" s="257"/>
      <c r="AA4" s="248" t="s">
        <v>229</v>
      </c>
      <c r="AB4" s="250" t="s">
        <v>230</v>
      </c>
      <c r="AC4" s="255" t="s">
        <v>249</v>
      </c>
      <c r="AD4" s="256"/>
      <c r="AE4" s="256"/>
      <c r="AF4" s="256"/>
      <c r="AG4" s="256"/>
      <c r="AH4" s="256"/>
      <c r="AI4" s="256"/>
      <c r="AJ4" s="257"/>
      <c r="AM4" s="248" t="s">
        <v>229</v>
      </c>
      <c r="AN4" s="250" t="s">
        <v>230</v>
      </c>
      <c r="AO4" s="255" t="s">
        <v>249</v>
      </c>
      <c r="AP4" s="256"/>
      <c r="AQ4" s="256"/>
      <c r="AR4" s="256"/>
      <c r="AS4" s="256"/>
      <c r="AT4" s="256"/>
      <c r="AU4" s="256"/>
      <c r="AV4" s="257"/>
    </row>
    <row r="5" spans="2:48" ht="15.75" thickBot="1">
      <c r="B5" s="259"/>
      <c r="C5" s="261"/>
      <c r="D5" s="176" t="s">
        <v>250</v>
      </c>
      <c r="E5" s="176" t="s">
        <v>234</v>
      </c>
      <c r="F5" s="176" t="s">
        <v>235</v>
      </c>
      <c r="G5" s="176" t="s">
        <v>236</v>
      </c>
      <c r="H5" s="176" t="s">
        <v>239</v>
      </c>
      <c r="I5" s="176" t="s">
        <v>246</v>
      </c>
      <c r="J5" s="176" t="s">
        <v>240</v>
      </c>
      <c r="K5" s="177" t="s">
        <v>251</v>
      </c>
      <c r="N5" s="249"/>
      <c r="O5" s="251"/>
      <c r="P5" s="168" t="s">
        <v>250</v>
      </c>
      <c r="Q5" s="168" t="s">
        <v>243</v>
      </c>
      <c r="R5" s="168" t="s">
        <v>235</v>
      </c>
      <c r="S5" s="168" t="s">
        <v>236</v>
      </c>
      <c r="T5" s="168" t="s">
        <v>244</v>
      </c>
      <c r="U5" s="168" t="s">
        <v>253</v>
      </c>
      <c r="V5" s="168" t="s">
        <v>240</v>
      </c>
      <c r="W5" s="169" t="s">
        <v>251</v>
      </c>
      <c r="AA5" s="249"/>
      <c r="AB5" s="251"/>
      <c r="AC5" s="168" t="s">
        <v>250</v>
      </c>
      <c r="AD5" s="168" t="s">
        <v>243</v>
      </c>
      <c r="AE5" s="168" t="s">
        <v>234</v>
      </c>
      <c r="AF5" s="168" t="s">
        <v>235</v>
      </c>
      <c r="AG5" s="168" t="s">
        <v>244</v>
      </c>
      <c r="AH5" s="168" t="s">
        <v>239</v>
      </c>
      <c r="AI5" s="168" t="s">
        <v>246</v>
      </c>
      <c r="AJ5" s="169" t="s">
        <v>251</v>
      </c>
      <c r="AM5" s="249"/>
      <c r="AN5" s="251"/>
      <c r="AO5" s="168" t="s">
        <v>250</v>
      </c>
      <c r="AP5" s="168" t="s">
        <v>243</v>
      </c>
      <c r="AQ5" s="168" t="s">
        <v>234</v>
      </c>
      <c r="AR5" s="168" t="s">
        <v>236</v>
      </c>
      <c r="AS5" s="168" t="s">
        <v>244</v>
      </c>
      <c r="AT5" s="168" t="s">
        <v>255</v>
      </c>
      <c r="AU5" s="168" t="s">
        <v>240</v>
      </c>
      <c r="AV5" s="169" t="s">
        <v>251</v>
      </c>
    </row>
    <row r="6" spans="2:48">
      <c r="B6" s="160">
        <v>42736</v>
      </c>
      <c r="C6" s="161">
        <v>123459181</v>
      </c>
      <c r="D6" s="174">
        <v>980738</v>
      </c>
      <c r="E6" s="174">
        <v>14181364</v>
      </c>
      <c r="F6" s="174">
        <v>9450202</v>
      </c>
      <c r="G6" s="174">
        <v>549447</v>
      </c>
      <c r="H6" s="174">
        <v>14087620</v>
      </c>
      <c r="I6" s="174">
        <v>9527278</v>
      </c>
      <c r="J6" s="174">
        <v>775975</v>
      </c>
      <c r="K6" s="174">
        <v>1924266</v>
      </c>
      <c r="N6" s="160">
        <v>42736</v>
      </c>
      <c r="O6" s="170">
        <v>42063030</v>
      </c>
      <c r="P6" s="170">
        <v>363720</v>
      </c>
      <c r="Q6" s="170">
        <v>13994048</v>
      </c>
      <c r="R6" s="170">
        <v>3587263</v>
      </c>
      <c r="S6" s="170">
        <v>147747</v>
      </c>
      <c r="T6" s="170">
        <v>14184104</v>
      </c>
      <c r="U6" s="170">
        <v>3771528</v>
      </c>
      <c r="V6" s="170">
        <v>194458</v>
      </c>
      <c r="W6" s="170">
        <v>720713</v>
      </c>
      <c r="AA6" s="160">
        <v>42736</v>
      </c>
      <c r="AB6" s="170">
        <v>313717</v>
      </c>
      <c r="AC6" s="170">
        <v>5430</v>
      </c>
      <c r="AD6" s="170">
        <v>737979</v>
      </c>
      <c r="AE6" s="170">
        <v>193984</v>
      </c>
      <c r="AF6" s="170">
        <v>201853</v>
      </c>
      <c r="AG6" s="170">
        <v>417044</v>
      </c>
      <c r="AH6" s="170">
        <v>130445</v>
      </c>
      <c r="AI6" s="170">
        <v>145459</v>
      </c>
      <c r="AJ6" s="170">
        <v>14896</v>
      </c>
      <c r="AM6" s="160">
        <v>42736</v>
      </c>
      <c r="AN6" s="174">
        <v>9072788</v>
      </c>
      <c r="AO6" s="170">
        <v>567121</v>
      </c>
      <c r="AP6" s="170">
        <v>9527278</v>
      </c>
      <c r="AQ6" s="170">
        <v>3602407</v>
      </c>
      <c r="AR6" s="170">
        <v>154843</v>
      </c>
      <c r="AS6" s="170">
        <v>9450202</v>
      </c>
      <c r="AT6" s="170">
        <v>3586291</v>
      </c>
      <c r="AU6" s="170">
        <v>202510</v>
      </c>
      <c r="AV6" s="170">
        <v>38898</v>
      </c>
    </row>
    <row r="7" spans="2:48">
      <c r="B7" s="162">
        <v>42767</v>
      </c>
      <c r="C7" s="10">
        <v>131740171</v>
      </c>
      <c r="D7" s="10">
        <v>867237</v>
      </c>
      <c r="E7" s="10">
        <v>12979923</v>
      </c>
      <c r="F7" s="10">
        <v>8669512</v>
      </c>
      <c r="G7" s="10">
        <v>488116</v>
      </c>
      <c r="H7" s="10">
        <v>13064229</v>
      </c>
      <c r="I7" s="10">
        <v>8823915</v>
      </c>
      <c r="J7" s="10">
        <v>659771</v>
      </c>
      <c r="K7" s="10">
        <v>1826518</v>
      </c>
      <c r="N7" s="162">
        <v>42767</v>
      </c>
      <c r="O7" s="11">
        <v>38650876</v>
      </c>
      <c r="P7" s="11">
        <v>322851</v>
      </c>
      <c r="Q7" s="11">
        <v>13030067</v>
      </c>
      <c r="R7" s="11">
        <v>3382995</v>
      </c>
      <c r="S7" s="11">
        <v>122313</v>
      </c>
      <c r="T7" s="11">
        <v>12977663</v>
      </c>
      <c r="U7" s="11">
        <v>3482233</v>
      </c>
      <c r="V7" s="11">
        <v>180997</v>
      </c>
      <c r="W7" s="11">
        <v>627985</v>
      </c>
      <c r="AA7" s="162">
        <v>42767</v>
      </c>
      <c r="AB7" s="11">
        <v>269507</v>
      </c>
      <c r="AC7" s="11">
        <v>4868</v>
      </c>
      <c r="AD7" s="11">
        <v>636563</v>
      </c>
      <c r="AE7" s="11">
        <v>180722</v>
      </c>
      <c r="AF7" s="11">
        <v>180511</v>
      </c>
      <c r="AG7" s="11">
        <v>373568</v>
      </c>
      <c r="AH7" s="11">
        <v>107568</v>
      </c>
      <c r="AI7" s="11">
        <v>125928</v>
      </c>
      <c r="AJ7" s="11">
        <v>8316</v>
      </c>
      <c r="AM7" s="162">
        <v>42767</v>
      </c>
      <c r="AN7" s="10">
        <v>8297442</v>
      </c>
      <c r="AO7" s="11">
        <v>579839</v>
      </c>
      <c r="AP7" s="11">
        <v>8823915</v>
      </c>
      <c r="AQ7" s="11">
        <v>3417854</v>
      </c>
      <c r="AR7" s="11">
        <v>133316</v>
      </c>
      <c r="AS7" s="11">
        <v>8669512</v>
      </c>
      <c r="AT7" s="11">
        <v>3380859</v>
      </c>
      <c r="AU7" s="11">
        <v>180943</v>
      </c>
      <c r="AV7" s="11">
        <v>32157</v>
      </c>
    </row>
    <row r="8" spans="2:48">
      <c r="B8" s="162">
        <v>42795</v>
      </c>
      <c r="C8" s="10">
        <v>139235244</v>
      </c>
      <c r="D8" s="10">
        <v>843268</v>
      </c>
      <c r="E8" s="10">
        <v>14053859</v>
      </c>
      <c r="F8" s="10">
        <v>9534661</v>
      </c>
      <c r="G8" s="10">
        <v>558344</v>
      </c>
      <c r="H8" s="10">
        <v>13892709</v>
      </c>
      <c r="I8" s="10">
        <v>9417744</v>
      </c>
      <c r="J8" s="10">
        <v>689956</v>
      </c>
      <c r="K8" s="10">
        <v>1852240</v>
      </c>
      <c r="N8" s="162">
        <v>42795</v>
      </c>
      <c r="O8" s="11">
        <v>41013883</v>
      </c>
      <c r="P8" s="11">
        <v>322813</v>
      </c>
      <c r="Q8" s="11">
        <v>13818935</v>
      </c>
      <c r="R8" s="11">
        <v>3720900</v>
      </c>
      <c r="S8" s="11">
        <v>144989</v>
      </c>
      <c r="T8" s="11">
        <v>14051715</v>
      </c>
      <c r="U8" s="11">
        <v>4240598</v>
      </c>
      <c r="V8" s="11">
        <v>181769</v>
      </c>
      <c r="W8" s="11">
        <v>1743499</v>
      </c>
      <c r="AA8" s="162">
        <v>42795</v>
      </c>
      <c r="AB8" s="11">
        <v>292447</v>
      </c>
      <c r="AC8" s="11">
        <v>4597</v>
      </c>
      <c r="AD8" s="11">
        <v>663635</v>
      </c>
      <c r="AE8" s="11">
        <v>180955</v>
      </c>
      <c r="AF8" s="11">
        <v>187052</v>
      </c>
      <c r="AG8" s="11">
        <v>416567</v>
      </c>
      <c r="AH8" s="11">
        <v>126451</v>
      </c>
      <c r="AI8" s="11">
        <v>136702</v>
      </c>
      <c r="AJ8" s="11">
        <v>10267</v>
      </c>
      <c r="AM8" s="162">
        <v>42795</v>
      </c>
      <c r="AN8" s="10">
        <v>9412305</v>
      </c>
      <c r="AO8" s="11">
        <v>582632</v>
      </c>
      <c r="AP8" s="11">
        <v>9417744</v>
      </c>
      <c r="AQ8" s="11">
        <v>4224374</v>
      </c>
      <c r="AR8" s="11">
        <v>145019</v>
      </c>
      <c r="AS8" s="11">
        <v>9534661</v>
      </c>
      <c r="AT8" s="11">
        <v>3721372</v>
      </c>
      <c r="AU8" s="11">
        <v>188101</v>
      </c>
      <c r="AV8" s="11">
        <v>37656</v>
      </c>
    </row>
    <row r="9" spans="2:48">
      <c r="B9" s="162">
        <v>42826</v>
      </c>
      <c r="C9" s="10">
        <v>127012518</v>
      </c>
      <c r="D9" s="10">
        <v>787560</v>
      </c>
      <c r="E9" s="10">
        <v>12628090</v>
      </c>
      <c r="F9" s="10">
        <v>8585509</v>
      </c>
      <c r="G9" s="10">
        <v>463688</v>
      </c>
      <c r="H9" s="10">
        <v>12281495</v>
      </c>
      <c r="I9" s="10">
        <v>9075923</v>
      </c>
      <c r="J9" s="10">
        <v>604637</v>
      </c>
      <c r="K9" s="10">
        <v>1688431</v>
      </c>
      <c r="N9" s="162">
        <v>42826</v>
      </c>
      <c r="O9" s="11">
        <v>37348555</v>
      </c>
      <c r="P9" s="11">
        <v>293801</v>
      </c>
      <c r="Q9" s="11">
        <v>12262316</v>
      </c>
      <c r="R9" s="11">
        <v>3339340</v>
      </c>
      <c r="S9" s="11">
        <v>126521</v>
      </c>
      <c r="T9" s="11">
        <v>12626373</v>
      </c>
      <c r="U9" s="11">
        <v>4011019</v>
      </c>
      <c r="V9" s="11">
        <v>166837</v>
      </c>
      <c r="W9" s="11">
        <v>1947551</v>
      </c>
      <c r="AA9" s="162">
        <v>42826</v>
      </c>
      <c r="AB9" s="11">
        <v>261031</v>
      </c>
      <c r="AC9" s="11">
        <v>4272</v>
      </c>
      <c r="AD9" s="11">
        <v>578497</v>
      </c>
      <c r="AE9" s="11">
        <v>165670</v>
      </c>
      <c r="AF9" s="11">
        <v>170415</v>
      </c>
      <c r="AG9" s="11">
        <v>339166</v>
      </c>
      <c r="AH9" s="11">
        <v>110922</v>
      </c>
      <c r="AI9" s="11">
        <v>118718</v>
      </c>
      <c r="AJ9" s="11">
        <v>9170</v>
      </c>
      <c r="AM9" s="162">
        <v>42826</v>
      </c>
      <c r="AN9" s="10">
        <v>9038692</v>
      </c>
      <c r="AO9" s="11">
        <v>598723</v>
      </c>
      <c r="AP9" s="11">
        <v>9075923</v>
      </c>
      <c r="AQ9" s="11">
        <v>4011679</v>
      </c>
      <c r="AR9" s="11">
        <v>129384</v>
      </c>
      <c r="AS9" s="11">
        <v>8585509</v>
      </c>
      <c r="AT9" s="11">
        <v>3339466</v>
      </c>
      <c r="AU9" s="11">
        <v>172461</v>
      </c>
      <c r="AV9" s="11">
        <v>33990</v>
      </c>
    </row>
    <row r="10" spans="2:48">
      <c r="B10" s="162">
        <v>42856</v>
      </c>
      <c r="C10" s="10">
        <v>133209457</v>
      </c>
      <c r="D10" s="10">
        <v>795396</v>
      </c>
      <c r="E10" s="10">
        <v>13624991</v>
      </c>
      <c r="F10" s="10">
        <v>9417867</v>
      </c>
      <c r="G10" s="10">
        <v>522922</v>
      </c>
      <c r="H10" s="10">
        <v>13485330</v>
      </c>
      <c r="I10" s="10">
        <v>10034199</v>
      </c>
      <c r="J10" s="10">
        <v>588563</v>
      </c>
      <c r="K10" s="10">
        <v>1934851</v>
      </c>
      <c r="N10" s="162">
        <v>42856</v>
      </c>
      <c r="O10" s="11">
        <v>39712821</v>
      </c>
      <c r="P10" s="11">
        <v>308923</v>
      </c>
      <c r="Q10" s="11">
        <v>13444213</v>
      </c>
      <c r="R10" s="11">
        <v>3696559</v>
      </c>
      <c r="S10" s="11">
        <v>128950</v>
      </c>
      <c r="T10" s="11">
        <v>13622921</v>
      </c>
      <c r="U10" s="11">
        <v>3686485</v>
      </c>
      <c r="V10" s="11">
        <v>160145</v>
      </c>
      <c r="W10" s="11">
        <v>1984022</v>
      </c>
      <c r="AA10" s="162">
        <v>42856</v>
      </c>
      <c r="AB10" s="11">
        <v>258269</v>
      </c>
      <c r="AC10" s="11">
        <v>3843</v>
      </c>
      <c r="AD10" s="11">
        <v>565869</v>
      </c>
      <c r="AE10" s="11">
        <v>159701</v>
      </c>
      <c r="AF10" s="11">
        <v>170878</v>
      </c>
      <c r="AG10" s="11">
        <v>388091</v>
      </c>
      <c r="AH10" s="11">
        <v>111209</v>
      </c>
      <c r="AI10" s="11">
        <v>127523</v>
      </c>
      <c r="AJ10" s="11">
        <v>7822</v>
      </c>
      <c r="AM10" s="162">
        <v>42856</v>
      </c>
      <c r="AN10" s="10">
        <v>9976829</v>
      </c>
      <c r="AO10" s="11">
        <v>714840</v>
      </c>
      <c r="AP10" s="11">
        <v>10034199</v>
      </c>
      <c r="AQ10" s="11">
        <v>3695348</v>
      </c>
      <c r="AR10" s="11">
        <v>135881</v>
      </c>
      <c r="AS10" s="11">
        <v>9417867</v>
      </c>
      <c r="AT10" s="11">
        <v>3668963</v>
      </c>
      <c r="AU10" s="11">
        <v>171771</v>
      </c>
      <c r="AV10" s="11">
        <v>25078</v>
      </c>
    </row>
    <row r="11" spans="2:48">
      <c r="B11" s="162">
        <v>42887</v>
      </c>
      <c r="C11" s="10">
        <v>123299027</v>
      </c>
      <c r="D11" s="10">
        <v>697649</v>
      </c>
      <c r="E11" s="10">
        <v>12721217</v>
      </c>
      <c r="F11" s="10">
        <v>8898033</v>
      </c>
      <c r="G11" s="10">
        <v>486276</v>
      </c>
      <c r="H11" s="10">
        <v>12261821</v>
      </c>
      <c r="I11" s="10">
        <v>9260367</v>
      </c>
      <c r="J11" s="10">
        <v>560229</v>
      </c>
      <c r="K11" s="10">
        <v>1750112</v>
      </c>
      <c r="N11" s="162">
        <v>42887</v>
      </c>
      <c r="O11" s="11">
        <v>36851804</v>
      </c>
      <c r="P11" s="11">
        <v>277794</v>
      </c>
      <c r="Q11" s="11">
        <v>12262875</v>
      </c>
      <c r="R11" s="11">
        <v>3505122</v>
      </c>
      <c r="S11" s="11">
        <v>118563</v>
      </c>
      <c r="T11" s="11">
        <v>12592358</v>
      </c>
      <c r="U11" s="11">
        <v>3499390</v>
      </c>
      <c r="V11" s="11">
        <v>155493</v>
      </c>
      <c r="W11" s="11">
        <v>1962095</v>
      </c>
      <c r="AA11" s="162">
        <v>42887</v>
      </c>
      <c r="AB11" s="11">
        <v>231197</v>
      </c>
      <c r="AC11" s="11">
        <v>4334</v>
      </c>
      <c r="AD11" s="11">
        <v>539297</v>
      </c>
      <c r="AE11" s="11">
        <v>154899</v>
      </c>
      <c r="AF11" s="11">
        <v>168986</v>
      </c>
      <c r="AG11" s="11">
        <v>355590</v>
      </c>
      <c r="AH11" s="11">
        <v>102860</v>
      </c>
      <c r="AI11" s="11">
        <v>122422</v>
      </c>
      <c r="AJ11" s="11">
        <v>7258</v>
      </c>
      <c r="AM11" s="162">
        <v>42887</v>
      </c>
      <c r="AN11" s="10">
        <v>9544888</v>
      </c>
      <c r="AO11" s="11">
        <v>577346</v>
      </c>
      <c r="AP11" s="11">
        <v>9260367</v>
      </c>
      <c r="AQ11" s="11">
        <v>3567947</v>
      </c>
      <c r="AR11" s="11">
        <v>130597</v>
      </c>
      <c r="AS11" s="11">
        <v>8898033</v>
      </c>
      <c r="AT11" s="11">
        <v>3504279</v>
      </c>
      <c r="AU11" s="11">
        <v>169815</v>
      </c>
      <c r="AV11" s="11">
        <v>18723</v>
      </c>
    </row>
    <row r="12" spans="2:48">
      <c r="B12" s="162">
        <v>42917</v>
      </c>
      <c r="C12" s="10">
        <v>121697463</v>
      </c>
      <c r="D12" s="10">
        <v>725207</v>
      </c>
      <c r="E12" s="10">
        <v>12838025</v>
      </c>
      <c r="F12" s="10">
        <v>9218574</v>
      </c>
      <c r="G12" s="10">
        <v>483199</v>
      </c>
      <c r="H12" s="10">
        <v>12444687</v>
      </c>
      <c r="I12" s="10">
        <v>9261990</v>
      </c>
      <c r="J12" s="10">
        <v>535237</v>
      </c>
      <c r="K12" s="10">
        <v>1739738</v>
      </c>
      <c r="N12" s="162">
        <v>42917</v>
      </c>
      <c r="O12" s="11">
        <v>34679549</v>
      </c>
      <c r="P12" s="11">
        <v>341180</v>
      </c>
      <c r="Q12" s="11">
        <v>12504961</v>
      </c>
      <c r="R12" s="11">
        <v>3686472</v>
      </c>
      <c r="S12" s="11">
        <v>118062</v>
      </c>
      <c r="T12" s="11">
        <v>12837473</v>
      </c>
      <c r="U12" s="11">
        <v>4613614</v>
      </c>
      <c r="V12" s="11">
        <v>154944</v>
      </c>
      <c r="W12" s="11">
        <v>2385128</v>
      </c>
      <c r="AA12" s="162">
        <v>42917</v>
      </c>
      <c r="AB12" s="11">
        <v>221119</v>
      </c>
      <c r="AC12" s="11">
        <v>5112</v>
      </c>
      <c r="AD12" s="11">
        <v>520174</v>
      </c>
      <c r="AE12" s="11">
        <v>153961</v>
      </c>
      <c r="AF12" s="11">
        <v>168411</v>
      </c>
      <c r="AG12" s="11">
        <v>351962</v>
      </c>
      <c r="AH12" s="11">
        <v>102999</v>
      </c>
      <c r="AI12" s="11">
        <v>121368</v>
      </c>
      <c r="AJ12" s="11">
        <v>7502</v>
      </c>
      <c r="AM12" s="162">
        <v>42917</v>
      </c>
      <c r="AN12" s="11">
        <v>24246209</v>
      </c>
      <c r="AO12" s="11">
        <v>583314</v>
      </c>
      <c r="AP12" s="11">
        <v>9261990</v>
      </c>
      <c r="AQ12" s="11">
        <v>4641407</v>
      </c>
      <c r="AR12" s="11">
        <v>129715</v>
      </c>
      <c r="AS12" s="11">
        <v>9218574</v>
      </c>
      <c r="AT12" s="11">
        <v>3679759</v>
      </c>
      <c r="AU12" s="11">
        <v>169049</v>
      </c>
      <c r="AV12" s="11">
        <v>31084</v>
      </c>
    </row>
    <row r="13" spans="2:48">
      <c r="B13" s="162">
        <v>42948</v>
      </c>
      <c r="C13" s="10">
        <v>117823408</v>
      </c>
      <c r="D13" s="10">
        <v>639137</v>
      </c>
      <c r="E13" s="10">
        <v>13019958</v>
      </c>
      <c r="F13" s="10">
        <v>9084877</v>
      </c>
      <c r="G13" s="10">
        <v>442990</v>
      </c>
      <c r="H13" s="10">
        <v>12930638</v>
      </c>
      <c r="I13" s="10">
        <v>9326374</v>
      </c>
      <c r="J13" s="10">
        <v>548044</v>
      </c>
      <c r="K13" s="10">
        <v>1738696</v>
      </c>
      <c r="N13" s="162">
        <v>42948</v>
      </c>
      <c r="O13" s="11">
        <v>39865633</v>
      </c>
      <c r="P13" s="11">
        <v>363605</v>
      </c>
      <c r="Q13" s="11">
        <v>13967172</v>
      </c>
      <c r="R13" s="11">
        <v>4011267</v>
      </c>
      <c r="S13" s="11">
        <v>154655</v>
      </c>
      <c r="T13" s="11">
        <v>12868340</v>
      </c>
      <c r="U13" s="11">
        <v>3978472</v>
      </c>
      <c r="V13" s="11">
        <v>164590</v>
      </c>
      <c r="W13" s="11">
        <v>2384840</v>
      </c>
      <c r="AA13" s="162">
        <v>42948</v>
      </c>
      <c r="AB13" s="11">
        <v>227750</v>
      </c>
      <c r="AC13" s="11">
        <v>4463</v>
      </c>
      <c r="AD13" s="11">
        <v>521230</v>
      </c>
      <c r="AE13" s="11">
        <v>170750</v>
      </c>
      <c r="AF13" s="11">
        <v>290247</v>
      </c>
      <c r="AG13" s="11">
        <v>327178</v>
      </c>
      <c r="AH13" s="11">
        <v>105950</v>
      </c>
      <c r="AI13" s="11">
        <v>117414</v>
      </c>
      <c r="AJ13" s="11">
        <v>8575</v>
      </c>
      <c r="AM13" s="162">
        <v>42948</v>
      </c>
      <c r="AN13" s="11">
        <v>26076975</v>
      </c>
      <c r="AO13" s="11">
        <v>140657</v>
      </c>
      <c r="AP13" s="11">
        <v>9326374</v>
      </c>
      <c r="AQ13" s="11">
        <v>4056962</v>
      </c>
      <c r="AR13" s="11">
        <v>130389</v>
      </c>
      <c r="AS13" s="11">
        <v>9084877</v>
      </c>
      <c r="AT13" s="11">
        <v>3767641</v>
      </c>
      <c r="AU13" s="11">
        <v>291018</v>
      </c>
      <c r="AV13" s="11">
        <v>27900</v>
      </c>
    </row>
    <row r="14" spans="2:48">
      <c r="B14" s="162">
        <v>42979</v>
      </c>
      <c r="C14" s="10">
        <v>111094753</v>
      </c>
      <c r="D14" s="10">
        <v>588427</v>
      </c>
      <c r="E14" s="10">
        <v>12779238</v>
      </c>
      <c r="F14" s="10">
        <v>8780783</v>
      </c>
      <c r="G14" s="10">
        <v>414169</v>
      </c>
      <c r="H14" s="10">
        <v>12276550</v>
      </c>
      <c r="I14" s="10">
        <v>9016645</v>
      </c>
      <c r="J14" s="10">
        <v>569834</v>
      </c>
      <c r="K14" s="10">
        <v>1917075</v>
      </c>
      <c r="N14" s="162">
        <v>42979</v>
      </c>
      <c r="O14" s="11">
        <v>37911148</v>
      </c>
      <c r="P14" s="11">
        <v>378675</v>
      </c>
      <c r="Q14" s="11">
        <v>12319400</v>
      </c>
      <c r="R14" s="11">
        <v>3625492</v>
      </c>
      <c r="S14" s="11">
        <v>112785</v>
      </c>
      <c r="T14" s="11">
        <v>12778459</v>
      </c>
      <c r="U14" s="11">
        <v>3820201</v>
      </c>
      <c r="V14" s="11">
        <v>180481</v>
      </c>
      <c r="W14" s="11">
        <v>2557242</v>
      </c>
      <c r="AA14" s="162">
        <v>42979</v>
      </c>
      <c r="AB14" s="11">
        <v>239338</v>
      </c>
      <c r="AC14" s="11">
        <v>4778</v>
      </c>
      <c r="AD14" s="11">
        <v>519248</v>
      </c>
      <c r="AE14" s="11">
        <v>173630</v>
      </c>
      <c r="AF14" s="11">
        <v>264642</v>
      </c>
      <c r="AG14" s="11">
        <v>303007</v>
      </c>
      <c r="AH14" s="11">
        <v>97457</v>
      </c>
      <c r="AI14" s="11">
        <v>110835</v>
      </c>
      <c r="AJ14" s="11">
        <v>15986</v>
      </c>
      <c r="AM14" s="162">
        <v>42979</v>
      </c>
      <c r="AN14" s="11">
        <v>25421530</v>
      </c>
      <c r="AO14" s="11">
        <v>728563</v>
      </c>
      <c r="AP14" s="11">
        <v>9016645</v>
      </c>
      <c r="AQ14" s="11">
        <v>3824264</v>
      </c>
      <c r="AR14" s="11">
        <v>118623</v>
      </c>
      <c r="AS14" s="11">
        <v>8780783</v>
      </c>
      <c r="AT14" s="11">
        <v>3622207</v>
      </c>
      <c r="AU14" s="11">
        <v>270195</v>
      </c>
      <c r="AV14" s="11">
        <v>29747</v>
      </c>
    </row>
    <row r="15" spans="2:48">
      <c r="B15" s="162">
        <v>43009</v>
      </c>
      <c r="C15" s="10">
        <v>110078966</v>
      </c>
      <c r="D15" s="10">
        <v>558693</v>
      </c>
      <c r="E15" s="10">
        <v>13135553</v>
      </c>
      <c r="F15" s="10">
        <v>8895887</v>
      </c>
      <c r="G15" s="10">
        <v>410832</v>
      </c>
      <c r="H15" s="10">
        <v>12989061</v>
      </c>
      <c r="I15" s="10">
        <v>8834458</v>
      </c>
      <c r="J15" s="10">
        <v>641693</v>
      </c>
      <c r="K15" s="10">
        <v>1947038</v>
      </c>
      <c r="N15" s="162">
        <v>43009</v>
      </c>
      <c r="O15" s="11">
        <v>39904525</v>
      </c>
      <c r="P15" s="11">
        <v>411136</v>
      </c>
      <c r="Q15" s="11">
        <v>12779919</v>
      </c>
      <c r="R15" s="11">
        <v>3888550</v>
      </c>
      <c r="S15" s="11">
        <v>116494</v>
      </c>
      <c r="T15" s="11">
        <v>13033253</v>
      </c>
      <c r="U15" s="11">
        <v>3947946</v>
      </c>
      <c r="V15" s="11">
        <v>208966</v>
      </c>
      <c r="W15" s="11">
        <v>2336252</v>
      </c>
      <c r="AA15" s="162">
        <v>43009</v>
      </c>
      <c r="AB15" s="11">
        <v>223748</v>
      </c>
      <c r="AC15" s="11">
        <v>601630</v>
      </c>
      <c r="AD15" s="11">
        <v>601630</v>
      </c>
      <c r="AE15" s="11">
        <v>212141</v>
      </c>
      <c r="AF15" s="11">
        <v>243970</v>
      </c>
      <c r="AG15" s="11">
        <v>298145</v>
      </c>
      <c r="AH15" s="11">
        <v>100518</v>
      </c>
      <c r="AI15" s="11">
        <v>108368</v>
      </c>
      <c r="AJ15" s="11">
        <v>12644</v>
      </c>
      <c r="AM15" s="162">
        <v>43009</v>
      </c>
      <c r="AN15" s="11">
        <v>23671318</v>
      </c>
      <c r="AO15" s="11">
        <v>695133</v>
      </c>
      <c r="AP15" s="11">
        <v>8834458</v>
      </c>
      <c r="AQ15" s="11">
        <v>3957423</v>
      </c>
      <c r="AR15" s="11">
        <v>116259</v>
      </c>
      <c r="AS15" s="11">
        <v>8895887</v>
      </c>
      <c r="AT15" s="11">
        <v>3916277</v>
      </c>
      <c r="AU15" s="11">
        <v>244032</v>
      </c>
      <c r="AV15" s="11">
        <v>34270</v>
      </c>
    </row>
    <row r="16" spans="2:48">
      <c r="B16" s="163">
        <v>43040</v>
      </c>
      <c r="C16" s="10">
        <v>108713363</v>
      </c>
      <c r="D16" s="10">
        <v>431346</v>
      </c>
      <c r="E16" s="10">
        <v>13550926</v>
      </c>
      <c r="F16" s="10">
        <v>9063879</v>
      </c>
      <c r="G16" s="10">
        <v>503170</v>
      </c>
      <c r="H16" s="10">
        <v>12352613</v>
      </c>
      <c r="I16" s="10">
        <v>8415770</v>
      </c>
      <c r="J16" s="10">
        <v>630354</v>
      </c>
      <c r="K16" s="10">
        <v>1847621</v>
      </c>
      <c r="N16" s="163">
        <v>43040</v>
      </c>
      <c r="O16" s="11">
        <v>35946858</v>
      </c>
      <c r="P16" s="11">
        <v>231328</v>
      </c>
      <c r="Q16" s="11">
        <v>12348314</v>
      </c>
      <c r="R16" s="11">
        <v>3715536</v>
      </c>
      <c r="S16" s="11">
        <v>110923</v>
      </c>
      <c r="T16" s="11">
        <v>13397478</v>
      </c>
      <c r="U16" s="11">
        <v>3684526</v>
      </c>
      <c r="V16" s="11">
        <v>187050</v>
      </c>
      <c r="W16" s="11">
        <v>2263329</v>
      </c>
      <c r="AA16" s="163">
        <v>43040</v>
      </c>
      <c r="AB16" s="11">
        <v>220631</v>
      </c>
      <c r="AC16" s="11">
        <v>522871</v>
      </c>
      <c r="AD16" s="11">
        <v>522871</v>
      </c>
      <c r="AE16" s="11">
        <v>167956</v>
      </c>
      <c r="AF16" s="11">
        <v>192395</v>
      </c>
      <c r="AG16" s="11">
        <v>305098</v>
      </c>
      <c r="AH16" s="11">
        <v>92601</v>
      </c>
      <c r="AI16" s="11">
        <v>98340</v>
      </c>
      <c r="AJ16" s="11">
        <v>13545</v>
      </c>
      <c r="AM16" s="163">
        <v>43040</v>
      </c>
      <c r="AN16" s="11">
        <v>21332649</v>
      </c>
      <c r="AO16" s="11">
        <v>661207</v>
      </c>
      <c r="AP16" s="11">
        <v>8415770</v>
      </c>
      <c r="AQ16" s="11">
        <v>3711701</v>
      </c>
      <c r="AR16" s="11">
        <v>105353</v>
      </c>
      <c r="AS16" s="11">
        <v>9063879</v>
      </c>
      <c r="AT16" s="11">
        <v>3708101</v>
      </c>
      <c r="AU16" s="11">
        <v>210237</v>
      </c>
      <c r="AV16" s="11">
        <v>35224</v>
      </c>
    </row>
    <row r="17" spans="2:48" ht="15.75" thickBot="1">
      <c r="B17" s="164">
        <v>43070</v>
      </c>
      <c r="C17" s="175">
        <v>106235837</v>
      </c>
      <c r="D17" s="175">
        <v>504238</v>
      </c>
      <c r="E17" s="175">
        <v>13682811</v>
      </c>
      <c r="F17" s="175">
        <v>8864859</v>
      </c>
      <c r="G17" s="175">
        <v>465692</v>
      </c>
      <c r="H17" s="175">
        <v>13643258</v>
      </c>
      <c r="I17" s="175">
        <v>8596015</v>
      </c>
      <c r="J17" s="175">
        <v>755941</v>
      </c>
      <c r="K17" s="175">
        <v>2175620</v>
      </c>
      <c r="N17" s="164">
        <v>43070</v>
      </c>
      <c r="O17" s="145">
        <v>34930828</v>
      </c>
      <c r="P17" s="145">
        <v>295888</v>
      </c>
      <c r="Q17" s="145">
        <v>13571315</v>
      </c>
      <c r="R17" s="145">
        <v>4044104</v>
      </c>
      <c r="S17" s="145">
        <v>111804</v>
      </c>
      <c r="T17" s="145">
        <v>13683002</v>
      </c>
      <c r="U17" s="145">
        <v>4051128</v>
      </c>
      <c r="V17" s="145">
        <v>238397</v>
      </c>
      <c r="W17" s="145">
        <v>2059988</v>
      </c>
      <c r="AA17" s="164">
        <v>43070</v>
      </c>
      <c r="AB17" s="145">
        <v>213309</v>
      </c>
      <c r="AC17" s="145">
        <v>667401</v>
      </c>
      <c r="AD17" s="145">
        <v>667401</v>
      </c>
      <c r="AE17" s="145">
        <v>226628</v>
      </c>
      <c r="AF17" s="145">
        <v>248727</v>
      </c>
      <c r="AG17" s="145">
        <v>288161</v>
      </c>
      <c r="AH17" s="145">
        <v>93368</v>
      </c>
      <c r="AI17" s="145">
        <v>97050</v>
      </c>
      <c r="AJ17" s="145">
        <v>9513</v>
      </c>
      <c r="AM17" s="164">
        <v>43070</v>
      </c>
      <c r="AN17" s="145">
        <v>22265190</v>
      </c>
      <c r="AO17" s="145">
        <v>706453</v>
      </c>
      <c r="AP17" s="145">
        <v>8596015</v>
      </c>
      <c r="AQ17" s="145">
        <v>3975059</v>
      </c>
      <c r="AR17" s="145">
        <v>105008</v>
      </c>
      <c r="AS17" s="145">
        <v>8864859</v>
      </c>
      <c r="AT17" s="145">
        <v>4039320</v>
      </c>
      <c r="AU17" s="145">
        <v>265220</v>
      </c>
      <c r="AV17" s="145">
        <v>38211</v>
      </c>
    </row>
    <row r="20" spans="2:48">
      <c r="B20" t="s">
        <v>280</v>
      </c>
    </row>
    <row r="21" spans="2:48">
      <c r="B21" t="s">
        <v>281</v>
      </c>
    </row>
    <row r="22" spans="2:48">
      <c r="B22" t="s">
        <v>282</v>
      </c>
    </row>
    <row r="23" spans="2:48">
      <c r="B23" t="s">
        <v>283</v>
      </c>
    </row>
    <row r="24" spans="2:48">
      <c r="B24" t="s">
        <v>284</v>
      </c>
    </row>
    <row r="25" spans="2:48">
      <c r="B25" t="s">
        <v>285</v>
      </c>
    </row>
    <row r="26" spans="2:48">
      <c r="B26" t="s">
        <v>286</v>
      </c>
    </row>
    <row r="27" spans="2:48">
      <c r="B27" t="s">
        <v>287</v>
      </c>
    </row>
    <row r="28" spans="2:48">
      <c r="B28" t="s">
        <v>288</v>
      </c>
    </row>
    <row r="29" spans="2:48">
      <c r="B29" t="s">
        <v>289</v>
      </c>
    </row>
  </sheetData>
  <mergeCells count="16">
    <mergeCell ref="C2:K3"/>
    <mergeCell ref="B4:B5"/>
    <mergeCell ref="C4:C5"/>
    <mergeCell ref="D4:K4"/>
    <mergeCell ref="O2:W3"/>
    <mergeCell ref="N4:N5"/>
    <mergeCell ref="O4:O5"/>
    <mergeCell ref="P4:W4"/>
    <mergeCell ref="AB2:AJ3"/>
    <mergeCell ref="AA4:AA5"/>
    <mergeCell ref="AB4:AB5"/>
    <mergeCell ref="AC4:AJ4"/>
    <mergeCell ref="AN2:AV3"/>
    <mergeCell ref="AM4:AM5"/>
    <mergeCell ref="AN4:AN5"/>
    <mergeCell ref="AO4:AV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50"/>
  <sheetViews>
    <sheetView zoomScaleNormal="100" workbookViewId="0">
      <selection activeCell="O5" sqref="O5"/>
    </sheetView>
  </sheetViews>
  <sheetFormatPr baseColWidth="10" defaultRowHeight="15"/>
  <cols>
    <col min="1" max="1" width="23.5703125" customWidth="1"/>
    <col min="2" max="2" width="33.85546875" customWidth="1"/>
    <col min="3" max="3" width="15.85546875" bestFit="1" customWidth="1"/>
    <col min="4" max="8" width="16.7109375" bestFit="1" customWidth="1"/>
    <col min="13" max="13" width="11" customWidth="1"/>
    <col min="15" max="15" width="13" bestFit="1" customWidth="1"/>
    <col min="16" max="19" width="0" hidden="1" customWidth="1"/>
  </cols>
  <sheetData>
    <row r="1" spans="1:27" ht="15.75" thickBot="1">
      <c r="T1" s="96"/>
      <c r="U1" s="81"/>
      <c r="V1" s="81"/>
      <c r="W1" s="81"/>
      <c r="X1" s="81"/>
      <c r="Y1" s="81"/>
      <c r="Z1" s="81"/>
    </row>
    <row r="2" spans="1:27" ht="30.75" thickBot="1">
      <c r="A2" s="118" t="s">
        <v>57</v>
      </c>
      <c r="B2" s="127" t="s">
        <v>58</v>
      </c>
      <c r="C2" s="76">
        <v>42736</v>
      </c>
      <c r="D2" s="49">
        <v>42767</v>
      </c>
      <c r="E2" s="49">
        <v>42795</v>
      </c>
      <c r="F2" s="49">
        <v>42826</v>
      </c>
      <c r="G2" s="49">
        <v>42856</v>
      </c>
      <c r="H2" s="49">
        <v>42887</v>
      </c>
      <c r="I2" s="49">
        <v>42917</v>
      </c>
      <c r="J2" s="49">
        <v>42948</v>
      </c>
      <c r="K2" s="49">
        <v>42979</v>
      </c>
      <c r="L2" s="49">
        <v>43009</v>
      </c>
      <c r="M2" s="49">
        <v>43040</v>
      </c>
      <c r="N2" s="50">
        <v>43070</v>
      </c>
      <c r="T2" s="74"/>
      <c r="U2" s="81"/>
      <c r="V2" s="81"/>
      <c r="W2" s="81"/>
      <c r="X2" s="81"/>
      <c r="Y2" s="81"/>
      <c r="Z2" s="81"/>
    </row>
    <row r="3" spans="1:27">
      <c r="A3" s="265" t="s">
        <v>118</v>
      </c>
      <c r="B3" s="128" t="s">
        <v>59</v>
      </c>
      <c r="C3" s="119">
        <v>44543</v>
      </c>
      <c r="D3" s="101">
        <v>43597</v>
      </c>
      <c r="E3" s="101">
        <v>39845</v>
      </c>
      <c r="F3" s="101">
        <v>38333</v>
      </c>
      <c r="G3" s="101">
        <v>37531</v>
      </c>
      <c r="H3" s="101">
        <v>36446</v>
      </c>
      <c r="I3" s="101">
        <v>35597</v>
      </c>
      <c r="J3" s="101">
        <v>33217</v>
      </c>
      <c r="K3" s="101">
        <v>32368</v>
      </c>
      <c r="L3" s="101">
        <v>31001</v>
      </c>
      <c r="M3" s="101">
        <v>29702</v>
      </c>
      <c r="N3" s="114">
        <v>29138</v>
      </c>
      <c r="T3" s="82"/>
      <c r="U3" s="81"/>
      <c r="V3" s="81"/>
      <c r="W3" s="81"/>
      <c r="X3" s="81"/>
      <c r="Y3" s="81"/>
      <c r="Z3" s="81"/>
    </row>
    <row r="4" spans="1:27">
      <c r="A4" s="266"/>
      <c r="B4" s="129" t="s">
        <v>60</v>
      </c>
      <c r="C4" s="119">
        <v>92216</v>
      </c>
      <c r="D4" s="101">
        <v>88861</v>
      </c>
      <c r="E4" s="101">
        <v>86797</v>
      </c>
      <c r="F4" s="101">
        <v>80672</v>
      </c>
      <c r="G4" s="101">
        <v>79615</v>
      </c>
      <c r="H4" s="101">
        <v>76226</v>
      </c>
      <c r="I4" s="101">
        <v>74104</v>
      </c>
      <c r="J4" s="101">
        <v>69194</v>
      </c>
      <c r="K4" s="101">
        <v>66574</v>
      </c>
      <c r="L4" s="101">
        <v>69944</v>
      </c>
      <c r="M4" s="101">
        <v>64874</v>
      </c>
      <c r="N4" s="114">
        <v>64737</v>
      </c>
      <c r="T4" s="82"/>
      <c r="U4" s="81"/>
      <c r="V4" s="81"/>
      <c r="W4" s="81"/>
      <c r="X4" s="81"/>
      <c r="Y4" s="81"/>
      <c r="Z4" s="81"/>
    </row>
    <row r="5" spans="1:27">
      <c r="A5" s="266"/>
      <c r="B5" s="129" t="s">
        <v>61</v>
      </c>
      <c r="C5" s="157">
        <v>125</v>
      </c>
      <c r="D5" s="158">
        <v>7915</v>
      </c>
      <c r="E5" s="158">
        <v>7361</v>
      </c>
      <c r="F5" s="158">
        <v>7931</v>
      </c>
      <c r="G5" s="158">
        <v>7061</v>
      </c>
      <c r="H5" s="158">
        <v>7227</v>
      </c>
      <c r="I5" s="158">
        <v>6989</v>
      </c>
      <c r="J5" s="158">
        <v>6835</v>
      </c>
      <c r="K5" s="158">
        <v>6723</v>
      </c>
      <c r="L5" s="158">
        <v>6555</v>
      </c>
      <c r="M5" s="158">
        <v>6746</v>
      </c>
      <c r="N5" s="159">
        <v>7709</v>
      </c>
      <c r="T5" s="74"/>
      <c r="U5" s="81"/>
      <c r="V5" s="81"/>
      <c r="W5" s="81"/>
      <c r="X5" s="81"/>
      <c r="Y5" s="81"/>
      <c r="Z5" s="81"/>
    </row>
    <row r="6" spans="1:27">
      <c r="A6" s="266"/>
      <c r="B6" s="129" t="s">
        <v>62</v>
      </c>
      <c r="C6" s="119">
        <v>390</v>
      </c>
      <c r="D6" s="101">
        <v>492</v>
      </c>
      <c r="E6" s="101">
        <v>444</v>
      </c>
      <c r="F6" s="101">
        <v>472</v>
      </c>
      <c r="G6" s="101">
        <v>436</v>
      </c>
      <c r="H6" s="101">
        <v>429</v>
      </c>
      <c r="I6" s="101">
        <v>431</v>
      </c>
      <c r="J6" s="101">
        <v>444</v>
      </c>
      <c r="K6" s="101">
        <v>438</v>
      </c>
      <c r="L6" s="101">
        <v>429</v>
      </c>
      <c r="M6" s="101">
        <v>419</v>
      </c>
      <c r="N6" s="114">
        <v>414</v>
      </c>
      <c r="T6" s="74"/>
      <c r="U6" s="82"/>
      <c r="V6" s="82"/>
      <c r="W6" s="82"/>
      <c r="X6" s="82"/>
      <c r="Y6" s="82"/>
      <c r="Z6" s="82"/>
    </row>
    <row r="7" spans="1:27">
      <c r="A7" s="266"/>
      <c r="B7" s="129" t="s">
        <v>63</v>
      </c>
      <c r="C7" s="119">
        <v>1548078</v>
      </c>
      <c r="D7" s="101">
        <v>1495332</v>
      </c>
      <c r="E7" s="101">
        <v>1464509</v>
      </c>
      <c r="F7" s="101">
        <v>1440202</v>
      </c>
      <c r="G7" s="101">
        <v>1433547</v>
      </c>
      <c r="H7" s="101">
        <v>1412398</v>
      </c>
      <c r="I7" s="101">
        <v>1398824</v>
      </c>
      <c r="J7" s="101">
        <v>1358764</v>
      </c>
      <c r="K7" s="101">
        <v>1328334</v>
      </c>
      <c r="L7" s="101">
        <v>1296149</v>
      </c>
      <c r="M7" s="101">
        <v>1261011</v>
      </c>
      <c r="N7" s="114">
        <v>1266252</v>
      </c>
      <c r="T7" s="74"/>
      <c r="U7" s="74"/>
      <c r="V7" s="74"/>
      <c r="W7" s="74"/>
      <c r="X7" s="74"/>
      <c r="Y7" s="74"/>
      <c r="Z7" s="74"/>
    </row>
    <row r="8" spans="1:27">
      <c r="A8" s="266"/>
      <c r="B8" s="129" t="s">
        <v>64</v>
      </c>
      <c r="C8" s="119">
        <v>132599</v>
      </c>
      <c r="D8" s="101">
        <v>118331</v>
      </c>
      <c r="E8" s="101">
        <v>111397</v>
      </c>
      <c r="F8" s="101">
        <v>98040</v>
      </c>
      <c r="G8" s="101">
        <v>105594</v>
      </c>
      <c r="H8" s="101">
        <v>99864</v>
      </c>
      <c r="I8" s="101">
        <v>100471</v>
      </c>
      <c r="J8" s="101">
        <v>92528</v>
      </c>
      <c r="K8" s="101">
        <v>88839</v>
      </c>
      <c r="L8" s="101">
        <v>88169</v>
      </c>
      <c r="M8" s="101">
        <v>82071</v>
      </c>
      <c r="N8" s="114">
        <v>84561</v>
      </c>
      <c r="T8" s="74"/>
      <c r="U8" s="83"/>
      <c r="V8" s="83"/>
      <c r="W8" s="83"/>
      <c r="X8" s="83"/>
      <c r="Y8" s="83"/>
      <c r="Z8" s="83"/>
    </row>
    <row r="9" spans="1:27">
      <c r="A9" s="266"/>
      <c r="B9" s="129" t="s">
        <v>65</v>
      </c>
      <c r="C9" s="119">
        <v>22673</v>
      </c>
      <c r="D9" s="101">
        <v>14469</v>
      </c>
      <c r="E9" s="101">
        <v>14546</v>
      </c>
      <c r="F9" s="101">
        <v>13669</v>
      </c>
      <c r="G9" s="101">
        <v>14053</v>
      </c>
      <c r="H9" s="101">
        <v>12967</v>
      </c>
      <c r="I9" s="101">
        <v>12462</v>
      </c>
      <c r="J9" s="101">
        <v>12146</v>
      </c>
      <c r="K9" s="101">
        <v>11658</v>
      </c>
      <c r="L9" s="101">
        <v>11293</v>
      </c>
      <c r="M9" s="101">
        <v>10807</v>
      </c>
      <c r="N9" s="114">
        <v>9969</v>
      </c>
      <c r="T9" s="74"/>
      <c r="U9" s="82"/>
      <c r="V9" s="82"/>
      <c r="W9" s="82"/>
      <c r="X9" s="82"/>
      <c r="Y9" s="82"/>
      <c r="Z9" s="82"/>
    </row>
    <row r="10" spans="1:27">
      <c r="A10" s="266"/>
      <c r="B10" s="129" t="s">
        <v>66</v>
      </c>
      <c r="C10" s="119">
        <v>7520</v>
      </c>
      <c r="D10" s="101">
        <v>6885</v>
      </c>
      <c r="E10" s="101">
        <v>6629</v>
      </c>
      <c r="F10" s="101">
        <v>6356</v>
      </c>
      <c r="G10" s="101">
        <v>6540</v>
      </c>
      <c r="H10" s="101">
        <v>6356</v>
      </c>
      <c r="I10" s="101">
        <v>6368</v>
      </c>
      <c r="J10" s="101">
        <v>6258</v>
      </c>
      <c r="K10" s="101">
        <v>6119</v>
      </c>
      <c r="L10" s="101">
        <v>6115</v>
      </c>
      <c r="M10" s="101">
        <v>5956</v>
      </c>
      <c r="N10" s="114">
        <v>5986</v>
      </c>
      <c r="T10" s="74"/>
      <c r="U10" s="74"/>
      <c r="V10" s="74"/>
      <c r="W10" s="74"/>
      <c r="X10" s="74"/>
      <c r="Y10" s="74"/>
      <c r="Z10" s="74"/>
    </row>
    <row r="11" spans="1:27">
      <c r="A11" s="266"/>
      <c r="B11" s="130" t="s">
        <v>67</v>
      </c>
      <c r="C11" s="119">
        <v>332911</v>
      </c>
      <c r="D11" s="101">
        <v>343189</v>
      </c>
      <c r="E11" s="101">
        <v>376282</v>
      </c>
      <c r="F11" s="101">
        <v>402113</v>
      </c>
      <c r="G11" s="101">
        <v>437575</v>
      </c>
      <c r="H11" s="101">
        <v>458935</v>
      </c>
      <c r="I11" s="101">
        <v>506654</v>
      </c>
      <c r="J11" s="101">
        <v>542927</v>
      </c>
      <c r="K11" s="101">
        <v>580718</v>
      </c>
      <c r="L11" s="101">
        <v>615370</v>
      </c>
      <c r="M11" s="101">
        <v>641251</v>
      </c>
      <c r="N11" s="114">
        <v>729285</v>
      </c>
      <c r="T11" s="74"/>
      <c r="U11" s="74"/>
      <c r="V11" s="74"/>
      <c r="W11" s="74"/>
      <c r="X11" s="74"/>
      <c r="Y11" s="74"/>
      <c r="Z11" s="74"/>
    </row>
    <row r="12" spans="1:27">
      <c r="A12" s="266"/>
      <c r="B12" s="130" t="s">
        <v>68</v>
      </c>
      <c r="C12" s="119">
        <v>4912</v>
      </c>
      <c r="D12" s="101">
        <v>4991</v>
      </c>
      <c r="E12" s="101">
        <v>5432</v>
      </c>
      <c r="F12" s="101">
        <v>5263</v>
      </c>
      <c r="G12" s="101">
        <v>6956</v>
      </c>
      <c r="H12" s="101">
        <v>7229</v>
      </c>
      <c r="I12" s="101">
        <v>8698</v>
      </c>
      <c r="J12" s="101">
        <v>9198</v>
      </c>
      <c r="K12" s="101">
        <v>9781</v>
      </c>
      <c r="L12" s="101">
        <v>11301</v>
      </c>
      <c r="M12" s="101">
        <v>11664</v>
      </c>
      <c r="N12" s="114">
        <v>14565</v>
      </c>
      <c r="T12" s="74"/>
      <c r="U12" s="74"/>
      <c r="V12" s="74"/>
      <c r="W12" s="74"/>
      <c r="X12" s="74"/>
      <c r="Y12" s="74"/>
      <c r="Z12" s="74"/>
    </row>
    <row r="13" spans="1:27">
      <c r="A13" s="266"/>
      <c r="B13" s="130" t="s">
        <v>69</v>
      </c>
      <c r="C13" s="119">
        <v>461</v>
      </c>
      <c r="D13" s="101">
        <v>476</v>
      </c>
      <c r="E13" s="101">
        <v>512</v>
      </c>
      <c r="F13" s="101">
        <v>683</v>
      </c>
      <c r="G13" s="101">
        <v>1018</v>
      </c>
      <c r="H13" s="101">
        <v>1058</v>
      </c>
      <c r="I13" s="101">
        <v>1608</v>
      </c>
      <c r="J13" s="101">
        <v>2015</v>
      </c>
      <c r="K13" s="101">
        <v>2673</v>
      </c>
      <c r="L13" s="101">
        <v>2954</v>
      </c>
      <c r="M13" s="101">
        <v>3586</v>
      </c>
      <c r="N13" s="114">
        <v>3645</v>
      </c>
      <c r="T13" s="74"/>
      <c r="U13" s="74"/>
      <c r="V13" s="74"/>
      <c r="W13" s="74"/>
      <c r="X13" s="74"/>
      <c r="Y13" s="74"/>
      <c r="Z13" s="74"/>
      <c r="AA13" s="74"/>
    </row>
    <row r="14" spans="1:27" ht="15.75" thickBot="1">
      <c r="A14" s="266"/>
      <c r="B14" s="131" t="s">
        <v>70</v>
      </c>
      <c r="C14" s="120">
        <v>522</v>
      </c>
      <c r="D14" s="102">
        <v>559</v>
      </c>
      <c r="E14" s="102">
        <v>706</v>
      </c>
      <c r="F14" s="102">
        <v>726</v>
      </c>
      <c r="G14" s="102">
        <v>902</v>
      </c>
      <c r="H14" s="102">
        <v>912</v>
      </c>
      <c r="I14" s="101">
        <v>1042</v>
      </c>
      <c r="J14" s="101">
        <v>1154</v>
      </c>
      <c r="K14" s="101">
        <v>1200</v>
      </c>
      <c r="L14" s="101">
        <v>1236</v>
      </c>
      <c r="M14" s="101">
        <v>2118</v>
      </c>
      <c r="N14" s="114">
        <v>1709</v>
      </c>
      <c r="AA14" s="74"/>
    </row>
    <row r="15" spans="1:27" ht="15.75" thickBot="1">
      <c r="A15" s="267"/>
      <c r="B15" s="77" t="s">
        <v>71</v>
      </c>
      <c r="C15" s="20">
        <f t="shared" ref="C15:N15" si="0">SUM(C3:C14)</f>
        <v>2186950</v>
      </c>
      <c r="D15" s="20">
        <f t="shared" si="0"/>
        <v>2125097</v>
      </c>
      <c r="E15" s="20">
        <f t="shared" si="0"/>
        <v>2114460</v>
      </c>
      <c r="F15" s="20">
        <f t="shared" si="0"/>
        <v>2094460</v>
      </c>
      <c r="G15" s="20">
        <f t="shared" si="0"/>
        <v>2130828</v>
      </c>
      <c r="H15" s="20">
        <f t="shared" si="0"/>
        <v>2120047</v>
      </c>
      <c r="I15" s="20">
        <f t="shared" si="0"/>
        <v>2153248</v>
      </c>
      <c r="J15" s="20">
        <f t="shared" si="0"/>
        <v>2134680</v>
      </c>
      <c r="K15" s="20">
        <f t="shared" si="0"/>
        <v>2135425</v>
      </c>
      <c r="L15" s="20">
        <f t="shared" si="0"/>
        <v>2140516</v>
      </c>
      <c r="M15" s="20">
        <f t="shared" si="0"/>
        <v>2120205</v>
      </c>
      <c r="N15" s="109">
        <f t="shared" si="0"/>
        <v>2217970</v>
      </c>
      <c r="T15" s="74"/>
      <c r="U15" s="74"/>
      <c r="V15" s="74"/>
      <c r="W15" s="74"/>
      <c r="X15" s="74"/>
      <c r="Y15" s="74"/>
      <c r="Z15" s="74"/>
      <c r="AA15" s="74"/>
    </row>
    <row r="16" spans="1:27">
      <c r="A16" s="268" t="s">
        <v>72</v>
      </c>
      <c r="B16" s="128" t="s">
        <v>205</v>
      </c>
      <c r="C16" s="121">
        <v>331549</v>
      </c>
      <c r="D16" s="11">
        <v>342867</v>
      </c>
      <c r="E16" s="11">
        <v>358327</v>
      </c>
      <c r="F16" s="11">
        <v>379139</v>
      </c>
      <c r="G16" s="11">
        <v>401337</v>
      </c>
      <c r="H16" s="11">
        <v>420662</v>
      </c>
      <c r="I16" s="94">
        <v>447993</v>
      </c>
      <c r="J16" s="94">
        <v>468781</v>
      </c>
      <c r="K16" s="94">
        <v>489375</v>
      </c>
      <c r="L16" s="94">
        <v>518297</v>
      </c>
      <c r="M16" s="94">
        <v>544504</v>
      </c>
      <c r="N16" s="95">
        <v>595393</v>
      </c>
      <c r="T16" s="74"/>
      <c r="U16" s="74"/>
      <c r="V16" s="74"/>
      <c r="W16" s="74"/>
      <c r="X16" s="74"/>
      <c r="Y16" s="74"/>
      <c r="Z16" s="74"/>
      <c r="AA16" s="74"/>
    </row>
    <row r="17" spans="1:27">
      <c r="A17" s="269"/>
      <c r="B17" s="132" t="s">
        <v>206</v>
      </c>
      <c r="C17" s="121">
        <v>383887</v>
      </c>
      <c r="D17" s="11">
        <v>372490</v>
      </c>
      <c r="E17" s="11">
        <v>362813</v>
      </c>
      <c r="F17" s="11">
        <v>363839</v>
      </c>
      <c r="G17" s="11">
        <v>359102</v>
      </c>
      <c r="H17" s="11">
        <v>356000</v>
      </c>
      <c r="I17" s="94">
        <v>355439</v>
      </c>
      <c r="J17" s="94">
        <v>327558</v>
      </c>
      <c r="K17" s="94">
        <v>344707</v>
      </c>
      <c r="L17" s="94">
        <v>340440</v>
      </c>
      <c r="M17" s="94">
        <v>339563</v>
      </c>
      <c r="N17" s="95">
        <v>339382</v>
      </c>
      <c r="T17" s="74"/>
      <c r="U17" s="74"/>
      <c r="V17" s="74"/>
      <c r="W17" s="74"/>
      <c r="X17" s="74"/>
      <c r="Y17" s="74"/>
      <c r="Z17" s="74"/>
      <c r="AA17" s="74"/>
    </row>
    <row r="18" spans="1:27">
      <c r="A18" s="269"/>
      <c r="B18" s="130" t="s">
        <v>207</v>
      </c>
      <c r="C18" s="121">
        <v>893</v>
      </c>
      <c r="D18" s="11">
        <v>536</v>
      </c>
      <c r="E18" s="11">
        <v>535</v>
      </c>
      <c r="F18" s="11">
        <v>596</v>
      </c>
      <c r="G18" s="11">
        <v>616</v>
      </c>
      <c r="H18" s="11">
        <v>640</v>
      </c>
      <c r="I18" s="94">
        <v>656</v>
      </c>
      <c r="J18" s="94">
        <v>653</v>
      </c>
      <c r="K18" s="94">
        <v>670</v>
      </c>
      <c r="L18" s="94">
        <v>643</v>
      </c>
      <c r="M18" s="94">
        <v>678</v>
      </c>
      <c r="N18" s="95">
        <v>944</v>
      </c>
      <c r="T18" s="74"/>
      <c r="U18" s="74"/>
      <c r="V18" s="74"/>
      <c r="W18" s="74"/>
      <c r="X18" s="74"/>
      <c r="Y18" s="74"/>
      <c r="Z18" s="74"/>
      <c r="AA18" s="74"/>
    </row>
    <row r="19" spans="1:27">
      <c r="A19" s="269"/>
      <c r="B19" s="130" t="s">
        <v>208</v>
      </c>
      <c r="C19" s="121">
        <v>2731</v>
      </c>
      <c r="D19" s="11">
        <v>2290</v>
      </c>
      <c r="E19" s="11">
        <v>2122</v>
      </c>
      <c r="F19" s="11">
        <v>2234</v>
      </c>
      <c r="G19" s="11">
        <v>2214</v>
      </c>
      <c r="H19" s="11">
        <v>2197</v>
      </c>
      <c r="I19" s="94">
        <v>2193</v>
      </c>
      <c r="J19" s="94">
        <v>2200</v>
      </c>
      <c r="K19" s="94">
        <v>2119</v>
      </c>
      <c r="L19" s="94">
        <v>2128</v>
      </c>
      <c r="M19" s="94">
        <v>2240</v>
      </c>
      <c r="N19" s="95">
        <v>2527</v>
      </c>
      <c r="T19" s="74"/>
      <c r="U19" s="74"/>
      <c r="V19" s="74"/>
      <c r="W19" s="74"/>
      <c r="X19" s="74"/>
      <c r="Y19" s="74"/>
      <c r="Z19" s="74"/>
      <c r="AA19" s="74"/>
    </row>
    <row r="20" spans="1:27">
      <c r="A20" s="269"/>
      <c r="B20" s="130" t="s">
        <v>209</v>
      </c>
      <c r="C20" s="121">
        <v>186897</v>
      </c>
      <c r="D20" s="11">
        <v>176418</v>
      </c>
      <c r="E20" s="11">
        <v>165123</v>
      </c>
      <c r="F20" s="11">
        <v>166078</v>
      </c>
      <c r="G20" s="11">
        <v>161675</v>
      </c>
      <c r="H20" s="11">
        <v>152592</v>
      </c>
      <c r="I20" s="94">
        <v>144226</v>
      </c>
      <c r="J20" s="94">
        <v>136500</v>
      </c>
      <c r="K20" s="94">
        <v>131976</v>
      </c>
      <c r="L20" s="94">
        <v>127382</v>
      </c>
      <c r="M20" s="94">
        <v>125375</v>
      </c>
      <c r="N20" s="95">
        <v>116687</v>
      </c>
      <c r="T20" s="74"/>
      <c r="U20" s="74"/>
      <c r="V20" s="74"/>
      <c r="W20" s="74"/>
      <c r="X20" s="74"/>
      <c r="Y20" s="74"/>
      <c r="Z20" s="74"/>
      <c r="AA20" s="74"/>
    </row>
    <row r="21" spans="1:27" ht="15.75" thickBot="1">
      <c r="A21" s="269"/>
      <c r="B21" s="133" t="s">
        <v>210</v>
      </c>
      <c r="C21" s="122">
        <v>56043</v>
      </c>
      <c r="D21" s="100">
        <v>47399</v>
      </c>
      <c r="E21" s="100">
        <v>47080</v>
      </c>
      <c r="F21" s="100">
        <v>49114</v>
      </c>
      <c r="G21" s="100">
        <v>49056</v>
      </c>
      <c r="H21" s="100">
        <v>50909</v>
      </c>
      <c r="I21" s="103">
        <v>53493</v>
      </c>
      <c r="J21" s="103">
        <v>73308</v>
      </c>
      <c r="K21" s="103">
        <v>52153</v>
      </c>
      <c r="L21" s="103">
        <v>52110</v>
      </c>
      <c r="M21" s="103">
        <v>53640</v>
      </c>
      <c r="N21" s="104">
        <v>122067</v>
      </c>
    </row>
    <row r="22" spans="1:27" ht="15.75" thickBot="1">
      <c r="A22" s="270"/>
      <c r="B22" s="77" t="s">
        <v>71</v>
      </c>
      <c r="C22" s="123">
        <f t="shared" ref="C22:N22" si="1">SUM(C16:C21)</f>
        <v>962000</v>
      </c>
      <c r="D22" s="107">
        <f t="shared" si="1"/>
        <v>942000</v>
      </c>
      <c r="E22" s="107">
        <f t="shared" si="1"/>
        <v>936000</v>
      </c>
      <c r="F22" s="107">
        <f t="shared" si="1"/>
        <v>961000</v>
      </c>
      <c r="G22" s="107">
        <f t="shared" si="1"/>
        <v>974000</v>
      </c>
      <c r="H22" s="107">
        <f t="shared" si="1"/>
        <v>983000</v>
      </c>
      <c r="I22" s="107">
        <f t="shared" si="1"/>
        <v>1004000</v>
      </c>
      <c r="J22" s="107">
        <f t="shared" si="1"/>
        <v>1009000</v>
      </c>
      <c r="K22" s="107">
        <f t="shared" si="1"/>
        <v>1021000</v>
      </c>
      <c r="L22" s="107">
        <f t="shared" si="1"/>
        <v>1041000</v>
      </c>
      <c r="M22" s="107">
        <f t="shared" si="1"/>
        <v>1066000</v>
      </c>
      <c r="N22" s="108">
        <f t="shared" si="1"/>
        <v>1177000</v>
      </c>
    </row>
    <row r="23" spans="1:27">
      <c r="A23" s="268" t="s">
        <v>73</v>
      </c>
      <c r="B23" s="129" t="s">
        <v>205</v>
      </c>
      <c r="C23" s="124">
        <v>161714</v>
      </c>
      <c r="D23" s="105">
        <v>197545</v>
      </c>
      <c r="E23" s="105">
        <v>205815</v>
      </c>
      <c r="F23" s="105">
        <v>209931</v>
      </c>
      <c r="G23" s="105">
        <v>225044</v>
      </c>
      <c r="H23" s="105">
        <v>223955</v>
      </c>
      <c r="I23" s="106">
        <v>254062</v>
      </c>
      <c r="J23" s="106">
        <v>267031</v>
      </c>
      <c r="K23" s="106">
        <v>283763</v>
      </c>
      <c r="L23" s="106">
        <v>318879</v>
      </c>
      <c r="M23" s="106">
        <v>325335</v>
      </c>
      <c r="N23" s="115">
        <v>338959</v>
      </c>
    </row>
    <row r="24" spans="1:27">
      <c r="A24" s="269"/>
      <c r="B24" s="130" t="s">
        <v>206</v>
      </c>
      <c r="C24" s="125">
        <v>286788</v>
      </c>
      <c r="D24" s="73">
        <v>302327</v>
      </c>
      <c r="E24" s="73">
        <v>290879</v>
      </c>
      <c r="F24" s="73">
        <v>273123</v>
      </c>
      <c r="G24" s="73">
        <v>279613</v>
      </c>
      <c r="H24" s="73">
        <v>258710</v>
      </c>
      <c r="I24" s="84">
        <v>230242</v>
      </c>
      <c r="J24" s="84">
        <v>222824</v>
      </c>
      <c r="K24" s="84">
        <v>229781</v>
      </c>
      <c r="L24" s="84">
        <v>256158</v>
      </c>
      <c r="M24" s="84">
        <v>246129</v>
      </c>
      <c r="N24" s="116">
        <v>233976</v>
      </c>
    </row>
    <row r="25" spans="1:27">
      <c r="A25" s="269"/>
      <c r="B25" s="130" t="s">
        <v>207</v>
      </c>
      <c r="C25" s="125">
        <v>437</v>
      </c>
      <c r="D25" s="73">
        <v>584</v>
      </c>
      <c r="E25" s="73">
        <v>583</v>
      </c>
      <c r="F25" s="73">
        <v>564</v>
      </c>
      <c r="G25" s="73">
        <v>616</v>
      </c>
      <c r="H25" s="73">
        <v>599</v>
      </c>
      <c r="I25" s="84">
        <v>522</v>
      </c>
      <c r="J25" s="84">
        <v>513</v>
      </c>
      <c r="K25" s="84">
        <v>1003</v>
      </c>
      <c r="L25" s="84">
        <v>1125</v>
      </c>
      <c r="M25" s="84">
        <v>1114</v>
      </c>
      <c r="N25" s="116">
        <v>1134</v>
      </c>
    </row>
    <row r="26" spans="1:27">
      <c r="A26" s="269"/>
      <c r="B26" s="130" t="s">
        <v>208</v>
      </c>
      <c r="C26" s="125">
        <v>2317</v>
      </c>
      <c r="D26" s="73">
        <v>2466</v>
      </c>
      <c r="E26" s="73">
        <v>2307</v>
      </c>
      <c r="F26" s="73">
        <v>2056</v>
      </c>
      <c r="G26" s="73">
        <v>2119</v>
      </c>
      <c r="H26" s="73">
        <v>1966</v>
      </c>
      <c r="I26" s="84">
        <v>1501</v>
      </c>
      <c r="J26" s="84">
        <v>1438</v>
      </c>
      <c r="K26" s="84">
        <v>1625</v>
      </c>
      <c r="L26" s="84">
        <v>1884</v>
      </c>
      <c r="M26" s="84">
        <v>1853</v>
      </c>
      <c r="N26" s="116">
        <v>1782</v>
      </c>
    </row>
    <row r="27" spans="1:27" ht="15.75" thickBot="1">
      <c r="A27" s="269"/>
      <c r="B27" s="133" t="s">
        <v>209</v>
      </c>
      <c r="C27" s="126">
        <v>74701</v>
      </c>
      <c r="D27" s="110">
        <v>82174</v>
      </c>
      <c r="E27" s="110">
        <v>79150</v>
      </c>
      <c r="F27" s="110">
        <v>74778</v>
      </c>
      <c r="G27" s="110">
        <v>77880</v>
      </c>
      <c r="H27" s="110">
        <v>73032</v>
      </c>
      <c r="I27" s="111">
        <v>32512</v>
      </c>
      <c r="J27" s="111">
        <v>31579</v>
      </c>
      <c r="K27" s="111">
        <v>63716</v>
      </c>
      <c r="L27" s="111">
        <v>77279</v>
      </c>
      <c r="M27" s="111">
        <v>77485</v>
      </c>
      <c r="N27" s="117">
        <v>71589</v>
      </c>
    </row>
    <row r="28" spans="1:27" ht="15.75" thickBot="1">
      <c r="A28" s="270"/>
      <c r="B28" s="77" t="s">
        <v>71</v>
      </c>
      <c r="C28" s="123">
        <f>SUM(C23:C27)</f>
        <v>525957</v>
      </c>
      <c r="D28" s="107">
        <f t="shared" ref="D28:G28" si="2">SUM(D23:D27)</f>
        <v>585096</v>
      </c>
      <c r="E28" s="107">
        <f t="shared" si="2"/>
        <v>578734</v>
      </c>
      <c r="F28" s="107">
        <f t="shared" si="2"/>
        <v>560452</v>
      </c>
      <c r="G28" s="107">
        <f t="shared" si="2"/>
        <v>585272</v>
      </c>
      <c r="H28" s="107">
        <f>SUM(H23:H27)</f>
        <v>558262</v>
      </c>
      <c r="I28" s="107">
        <f t="shared" ref="I28:N28" si="3">SUM(I23:I27)</f>
        <v>518839</v>
      </c>
      <c r="J28" s="107">
        <f t="shared" si="3"/>
        <v>523385</v>
      </c>
      <c r="K28" s="107">
        <f t="shared" si="3"/>
        <v>579888</v>
      </c>
      <c r="L28" s="107">
        <f t="shared" si="3"/>
        <v>655325</v>
      </c>
      <c r="M28" s="107">
        <f t="shared" si="3"/>
        <v>651916</v>
      </c>
      <c r="N28" s="108">
        <f t="shared" si="3"/>
        <v>647440</v>
      </c>
    </row>
    <row r="29" spans="1:27">
      <c r="A29" s="265" t="s">
        <v>74</v>
      </c>
      <c r="B29" s="134" t="s">
        <v>75</v>
      </c>
      <c r="C29" s="98">
        <v>40127.292640860207</v>
      </c>
      <c r="D29" s="98">
        <v>37026.146604761896</v>
      </c>
      <c r="E29" s="98">
        <v>40950.80783225807</v>
      </c>
      <c r="F29" s="98">
        <v>35610.139800000004</v>
      </c>
      <c r="G29" s="98">
        <v>36926.845893548387</v>
      </c>
      <c r="H29" s="98">
        <v>35515.666866666666</v>
      </c>
      <c r="I29" s="98">
        <v>33118.325565591389</v>
      </c>
      <c r="J29" s="98">
        <v>34278.271739784941</v>
      </c>
      <c r="K29" s="98">
        <v>32408.684166666673</v>
      </c>
      <c r="L29" s="98">
        <v>32660.808221505358</v>
      </c>
      <c r="M29" s="98">
        <v>31774.103566666665</v>
      </c>
      <c r="N29" s="99">
        <v>26443.843598924737</v>
      </c>
    </row>
    <row r="30" spans="1:27">
      <c r="A30" s="266"/>
      <c r="B30" s="130" t="s">
        <v>76</v>
      </c>
      <c r="C30" s="98">
        <v>30202.057525806449</v>
      </c>
      <c r="D30" s="98">
        <v>31814.215664285712</v>
      </c>
      <c r="E30" s="98">
        <v>32034.681574193542</v>
      </c>
      <c r="F30" s="98">
        <v>31590.61546666667</v>
      </c>
      <c r="G30" s="98">
        <v>32687.766538709679</v>
      </c>
      <c r="H30" s="98">
        <v>30991.021833333332</v>
      </c>
      <c r="I30" s="98">
        <v>30024.82030322581</v>
      </c>
      <c r="J30" s="98">
        <v>30529.27127419355</v>
      </c>
      <c r="K30" s="98">
        <v>30288.104799999997</v>
      </c>
      <c r="L30" s="98">
        <v>30594.735483870983</v>
      </c>
      <c r="M30" s="98">
        <v>30241.779866666668</v>
      </c>
      <c r="N30" s="99">
        <v>30170.829299999998</v>
      </c>
    </row>
    <row r="31" spans="1:27" ht="15.75" thickBot="1">
      <c r="A31" s="266"/>
      <c r="B31" s="133" t="s">
        <v>77</v>
      </c>
      <c r="C31" s="112">
        <v>9900.3333333333339</v>
      </c>
      <c r="D31" s="112">
        <v>10144.25</v>
      </c>
      <c r="E31" s="112">
        <v>10579.806451612903</v>
      </c>
      <c r="F31" s="112">
        <v>10834.933333333332</v>
      </c>
      <c r="G31" s="112">
        <v>11113.451612903225</v>
      </c>
      <c r="H31" s="112">
        <v>13189.9</v>
      </c>
      <c r="I31" s="112">
        <v>13787.645161290322</v>
      </c>
      <c r="J31" s="112">
        <v>14140.451612903225</v>
      </c>
      <c r="K31" s="112">
        <v>14230.4</v>
      </c>
      <c r="L31" s="112">
        <v>14432.516129032258</v>
      </c>
      <c r="M31" s="112">
        <v>14688.333333333334</v>
      </c>
      <c r="N31" s="113">
        <v>14279.387096774193</v>
      </c>
    </row>
    <row r="32" spans="1:27" ht="15.75" thickBot="1">
      <c r="A32" s="267"/>
      <c r="B32" s="77" t="s">
        <v>71</v>
      </c>
      <c r="C32" s="123">
        <f t="shared" ref="C32:N32" si="4">SUM(C29:C31)</f>
        <v>80229.683499999985</v>
      </c>
      <c r="D32" s="107">
        <f t="shared" si="4"/>
        <v>78984.612269047604</v>
      </c>
      <c r="E32" s="107">
        <f t="shared" si="4"/>
        <v>83565.295858064521</v>
      </c>
      <c r="F32" s="107">
        <f t="shared" si="4"/>
        <v>78035.688600000009</v>
      </c>
      <c r="G32" s="107">
        <f t="shared" si="4"/>
        <v>80728.064045161285</v>
      </c>
      <c r="H32" s="107">
        <f t="shared" si="4"/>
        <v>79696.588699999993</v>
      </c>
      <c r="I32" s="107">
        <f t="shared" si="4"/>
        <v>76930.791030107517</v>
      </c>
      <c r="J32" s="107">
        <f t="shared" si="4"/>
        <v>78947.994626881715</v>
      </c>
      <c r="K32" s="107">
        <f t="shared" si="4"/>
        <v>76927.188966666668</v>
      </c>
      <c r="L32" s="107">
        <f t="shared" si="4"/>
        <v>77688.059834408603</v>
      </c>
      <c r="M32" s="107">
        <f t="shared" si="4"/>
        <v>76704.216766666665</v>
      </c>
      <c r="N32" s="108">
        <f t="shared" si="4"/>
        <v>70894.059995698932</v>
      </c>
    </row>
    <row r="40" spans="2:11">
      <c r="B40" s="91"/>
      <c r="C40" s="91"/>
      <c r="D40" s="91"/>
      <c r="E40" s="91"/>
      <c r="F40" s="91"/>
      <c r="G40" s="91"/>
      <c r="H40" s="91"/>
      <c r="I40" s="91"/>
      <c r="J40" s="91"/>
      <c r="K40" s="91"/>
    </row>
    <row r="41" spans="2:11">
      <c r="B41" s="92"/>
      <c r="C41" s="92"/>
      <c r="D41" s="86"/>
      <c r="E41" s="86"/>
      <c r="F41" s="86"/>
      <c r="G41" s="86"/>
      <c r="H41" s="86"/>
      <c r="I41" s="86"/>
      <c r="J41" s="87"/>
      <c r="K41" s="87"/>
    </row>
    <row r="42" spans="2:11">
      <c r="B42" s="93"/>
      <c r="C42" s="93"/>
      <c r="D42" s="85"/>
      <c r="E42" s="85"/>
      <c r="F42" s="85"/>
      <c r="G42" s="85"/>
      <c r="H42" s="85"/>
      <c r="I42" s="85"/>
      <c r="J42" s="87"/>
      <c r="K42" s="87"/>
    </row>
    <row r="43" spans="2:11">
      <c r="B43" s="93"/>
      <c r="C43" s="93"/>
      <c r="D43" s="85"/>
      <c r="E43" s="85"/>
      <c r="F43" s="85"/>
      <c r="G43" s="85"/>
      <c r="H43" s="85"/>
      <c r="I43" s="85"/>
      <c r="J43" s="87"/>
      <c r="K43" s="87"/>
    </row>
    <row r="44" spans="2:11">
      <c r="B44" s="93"/>
      <c r="C44" s="93"/>
      <c r="D44" s="85"/>
      <c r="E44" s="85"/>
      <c r="F44" s="85"/>
      <c r="G44" s="85"/>
      <c r="H44" s="85"/>
      <c r="I44" s="85"/>
      <c r="J44" s="87"/>
      <c r="K44" s="87"/>
    </row>
    <row r="45" spans="2:11">
      <c r="B45" s="93"/>
      <c r="C45" s="93"/>
      <c r="D45" s="85"/>
      <c r="E45" s="85"/>
      <c r="F45" s="85"/>
      <c r="G45" s="85"/>
      <c r="H45" s="85"/>
      <c r="I45" s="85"/>
      <c r="J45" s="87"/>
      <c r="K45" s="87"/>
    </row>
    <row r="46" spans="2:11">
      <c r="B46" s="93"/>
      <c r="C46" s="93"/>
      <c r="D46" s="85"/>
      <c r="E46" s="85"/>
      <c r="F46" s="85"/>
      <c r="G46" s="85"/>
      <c r="H46" s="85"/>
      <c r="I46" s="85"/>
      <c r="J46" s="87"/>
      <c r="K46" s="87"/>
    </row>
    <row r="47" spans="2:11">
      <c r="B47" s="88"/>
      <c r="C47" s="88"/>
      <c r="D47" s="89"/>
      <c r="E47" s="89"/>
      <c r="F47" s="89"/>
      <c r="G47" s="89"/>
      <c r="H47" s="89"/>
      <c r="I47" s="89"/>
      <c r="J47" s="89"/>
      <c r="K47" s="89"/>
    </row>
    <row r="48" spans="2:11">
      <c r="B48" s="54"/>
      <c r="C48" s="54"/>
      <c r="D48" s="90"/>
      <c r="E48" s="54"/>
      <c r="F48" s="54"/>
      <c r="G48" s="54"/>
      <c r="H48" s="54"/>
      <c r="I48" s="54"/>
      <c r="J48" s="54"/>
      <c r="K48" s="54"/>
    </row>
    <row r="49" spans="2:11"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2:11">
      <c r="D50" s="75"/>
    </row>
  </sheetData>
  <mergeCells count="4">
    <mergeCell ref="A3:A15"/>
    <mergeCell ref="A16:A22"/>
    <mergeCell ref="A23:A28"/>
    <mergeCell ref="A29:A3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10" workbookViewId="0">
      <selection activeCell="K46" sqref="K46"/>
    </sheetView>
  </sheetViews>
  <sheetFormatPr baseColWidth="10" defaultRowHeight="15"/>
  <cols>
    <col min="1" max="1" width="7.42578125" customWidth="1"/>
    <col min="2" max="2" width="61" bestFit="1" customWidth="1"/>
    <col min="7" max="7" width="16.5703125" customWidth="1"/>
  </cols>
  <sheetData>
    <row r="1" spans="1:7">
      <c r="A1" s="12" t="s">
        <v>0</v>
      </c>
      <c r="B1" s="7" t="s">
        <v>128</v>
      </c>
      <c r="C1" s="14" t="s">
        <v>18</v>
      </c>
      <c r="D1" s="14" t="s">
        <v>19</v>
      </c>
      <c r="E1" s="14" t="s">
        <v>20</v>
      </c>
      <c r="F1" s="14" t="s">
        <v>21</v>
      </c>
      <c r="G1" s="14" t="s">
        <v>17</v>
      </c>
    </row>
    <row r="2" spans="1:7">
      <c r="A2" s="9">
        <v>1</v>
      </c>
      <c r="B2" s="53" t="s">
        <v>108</v>
      </c>
      <c r="C2" s="150" t="s">
        <v>223</v>
      </c>
      <c r="D2" s="150" t="s">
        <v>223</v>
      </c>
      <c r="E2" s="150" t="s">
        <v>223</v>
      </c>
      <c r="F2" s="150" t="s">
        <v>223</v>
      </c>
      <c r="G2" s="10">
        <f>SUM(C2:F2)</f>
        <v>0</v>
      </c>
    </row>
    <row r="3" spans="1:7">
      <c r="A3" s="9">
        <v>2</v>
      </c>
      <c r="B3" s="53" t="s">
        <v>50</v>
      </c>
      <c r="C3" s="150" t="s">
        <v>223</v>
      </c>
      <c r="D3" s="150" t="s">
        <v>223</v>
      </c>
      <c r="E3" s="150" t="s">
        <v>223</v>
      </c>
      <c r="F3" s="150" t="s">
        <v>223</v>
      </c>
      <c r="G3" s="10">
        <f t="shared" ref="G3:G35" si="0">SUM(C3:F3)</f>
        <v>0</v>
      </c>
    </row>
    <row r="4" spans="1:7">
      <c r="A4" s="9"/>
      <c r="B4" s="53" t="s">
        <v>51</v>
      </c>
      <c r="C4" s="150" t="s">
        <v>223</v>
      </c>
      <c r="D4" s="150" t="s">
        <v>223</v>
      </c>
      <c r="E4" s="150" t="s">
        <v>223</v>
      </c>
      <c r="F4" s="150" t="s">
        <v>223</v>
      </c>
      <c r="G4" s="10">
        <f t="shared" si="0"/>
        <v>0</v>
      </c>
    </row>
    <row r="5" spans="1:7">
      <c r="A5" s="9"/>
      <c r="B5" s="53" t="s">
        <v>52</v>
      </c>
      <c r="C5" s="150" t="s">
        <v>223</v>
      </c>
      <c r="D5" s="150" t="s">
        <v>223</v>
      </c>
      <c r="E5" s="150" t="s">
        <v>223</v>
      </c>
      <c r="F5" s="150" t="s">
        <v>223</v>
      </c>
      <c r="G5" s="10">
        <f t="shared" si="0"/>
        <v>0</v>
      </c>
    </row>
    <row r="6" spans="1:7">
      <c r="A6" s="9"/>
      <c r="B6" s="53" t="s">
        <v>53</v>
      </c>
      <c r="C6" s="150" t="s">
        <v>223</v>
      </c>
      <c r="D6" s="150" t="s">
        <v>223</v>
      </c>
      <c r="E6" s="150" t="s">
        <v>223</v>
      </c>
      <c r="F6" s="150" t="s">
        <v>223</v>
      </c>
      <c r="G6" s="10">
        <f t="shared" si="0"/>
        <v>0</v>
      </c>
    </row>
    <row r="7" spans="1:7">
      <c r="A7" s="9"/>
      <c r="B7" s="53" t="s">
        <v>107</v>
      </c>
      <c r="C7" s="150" t="s">
        <v>223</v>
      </c>
      <c r="D7" s="150" t="s">
        <v>223</v>
      </c>
      <c r="E7" s="150" t="s">
        <v>223</v>
      </c>
      <c r="F7" s="150" t="s">
        <v>223</v>
      </c>
      <c r="G7" s="10">
        <f>SUM(C7:F7)</f>
        <v>0</v>
      </c>
    </row>
    <row r="8" spans="1:7">
      <c r="A8" s="9">
        <v>3</v>
      </c>
      <c r="B8" s="53" t="s">
        <v>54</v>
      </c>
      <c r="C8" s="10">
        <v>1168</v>
      </c>
      <c r="D8" s="10">
        <v>2646</v>
      </c>
      <c r="E8" s="10">
        <v>1199</v>
      </c>
      <c r="F8" s="10"/>
      <c r="G8" s="10">
        <f t="shared" si="0"/>
        <v>5013</v>
      </c>
    </row>
    <row r="9" spans="1:7">
      <c r="A9" s="9">
        <v>4</v>
      </c>
      <c r="B9" s="53" t="s">
        <v>39</v>
      </c>
      <c r="C9" s="150" t="s">
        <v>223</v>
      </c>
      <c r="D9" s="150" t="s">
        <v>223</v>
      </c>
      <c r="E9" s="150" t="s">
        <v>223</v>
      </c>
      <c r="F9" s="150" t="s">
        <v>223</v>
      </c>
      <c r="G9" s="10">
        <f t="shared" si="0"/>
        <v>0</v>
      </c>
    </row>
    <row r="10" spans="1:7">
      <c r="A10" s="9">
        <v>5</v>
      </c>
      <c r="B10" s="53" t="s">
        <v>35</v>
      </c>
      <c r="C10" s="10"/>
      <c r="D10" s="10">
        <v>386</v>
      </c>
      <c r="E10" s="10">
        <v>3196</v>
      </c>
      <c r="F10" s="10">
        <v>14</v>
      </c>
      <c r="G10" s="10">
        <f t="shared" si="0"/>
        <v>3596</v>
      </c>
    </row>
    <row r="11" spans="1:7">
      <c r="A11" s="9">
        <v>6</v>
      </c>
      <c r="B11" s="9" t="s">
        <v>41</v>
      </c>
      <c r="C11" s="10"/>
      <c r="D11" s="10">
        <v>2119</v>
      </c>
      <c r="E11" s="10">
        <v>151</v>
      </c>
      <c r="F11" s="10"/>
      <c r="G11" s="10">
        <f t="shared" si="0"/>
        <v>2270</v>
      </c>
    </row>
    <row r="12" spans="1:7">
      <c r="A12" s="9">
        <v>7</v>
      </c>
      <c r="B12" s="9" t="s">
        <v>42</v>
      </c>
      <c r="C12" s="10"/>
      <c r="D12" s="10"/>
      <c r="E12" s="10">
        <v>842</v>
      </c>
      <c r="F12" s="10">
        <v>759</v>
      </c>
      <c r="G12" s="10">
        <f t="shared" si="0"/>
        <v>1601</v>
      </c>
    </row>
    <row r="13" spans="1:7" s="2" customFormat="1">
      <c r="A13" s="9">
        <v>8</v>
      </c>
      <c r="B13" s="9" t="s">
        <v>48</v>
      </c>
      <c r="C13" s="10"/>
      <c r="D13" s="10">
        <v>71</v>
      </c>
      <c r="E13" s="10">
        <v>77</v>
      </c>
      <c r="F13" s="10">
        <v>2</v>
      </c>
      <c r="G13" s="10">
        <f t="shared" si="0"/>
        <v>150</v>
      </c>
    </row>
    <row r="14" spans="1:7">
      <c r="A14" s="9">
        <v>9</v>
      </c>
      <c r="B14" s="9" t="s">
        <v>47</v>
      </c>
      <c r="C14" s="10"/>
      <c r="D14" s="10">
        <v>312</v>
      </c>
      <c r="E14" s="10">
        <v>63</v>
      </c>
      <c r="F14" s="10"/>
      <c r="G14" s="10">
        <f t="shared" si="0"/>
        <v>375</v>
      </c>
    </row>
    <row r="15" spans="1:7">
      <c r="A15" s="9">
        <v>10</v>
      </c>
      <c r="B15" s="9" t="s">
        <v>28</v>
      </c>
      <c r="C15" s="11"/>
      <c r="D15" s="11">
        <v>255</v>
      </c>
      <c r="E15" s="11">
        <v>683</v>
      </c>
      <c r="F15" s="11">
        <v>249</v>
      </c>
      <c r="G15" s="10">
        <f t="shared" si="0"/>
        <v>1187</v>
      </c>
    </row>
    <row r="16" spans="1:7">
      <c r="A16" s="9">
        <v>11</v>
      </c>
      <c r="B16" s="53" t="s">
        <v>43</v>
      </c>
      <c r="C16" s="150" t="s">
        <v>223</v>
      </c>
      <c r="D16" s="150" t="s">
        <v>223</v>
      </c>
      <c r="E16" s="150" t="s">
        <v>223</v>
      </c>
      <c r="F16" s="150" t="s">
        <v>223</v>
      </c>
      <c r="G16" s="10">
        <f t="shared" si="0"/>
        <v>0</v>
      </c>
    </row>
    <row r="17" spans="1:7">
      <c r="A17" s="9">
        <v>12</v>
      </c>
      <c r="B17" s="53" t="s">
        <v>23</v>
      </c>
      <c r="C17" s="150" t="s">
        <v>223</v>
      </c>
      <c r="D17" s="150" t="s">
        <v>223</v>
      </c>
      <c r="E17" s="150" t="s">
        <v>223</v>
      </c>
      <c r="F17" s="150" t="s">
        <v>223</v>
      </c>
      <c r="G17" s="10">
        <f t="shared" si="0"/>
        <v>0</v>
      </c>
    </row>
    <row r="18" spans="1:7">
      <c r="A18" s="9">
        <v>13</v>
      </c>
      <c r="B18" s="53" t="s">
        <v>24</v>
      </c>
      <c r="C18" s="11">
        <v>32</v>
      </c>
      <c r="D18" s="11">
        <v>43</v>
      </c>
      <c r="E18" s="11">
        <v>32</v>
      </c>
      <c r="F18" s="11"/>
      <c r="G18" s="10">
        <f t="shared" si="0"/>
        <v>107</v>
      </c>
    </row>
    <row r="19" spans="1:7">
      <c r="A19" s="9">
        <v>14</v>
      </c>
      <c r="B19" s="53" t="s">
        <v>46</v>
      </c>
      <c r="C19" s="150" t="s">
        <v>223</v>
      </c>
      <c r="D19" s="150" t="s">
        <v>223</v>
      </c>
      <c r="E19" s="150" t="s">
        <v>223</v>
      </c>
      <c r="F19" s="150" t="s">
        <v>223</v>
      </c>
      <c r="G19" s="10">
        <f t="shared" si="0"/>
        <v>0</v>
      </c>
    </row>
    <row r="20" spans="1:7">
      <c r="A20" s="9">
        <v>15</v>
      </c>
      <c r="B20" s="9" t="s">
        <v>38</v>
      </c>
      <c r="C20" s="10"/>
      <c r="D20" s="10">
        <v>956</v>
      </c>
      <c r="E20" s="10">
        <v>109</v>
      </c>
      <c r="F20" s="10"/>
      <c r="G20" s="10">
        <f t="shared" si="0"/>
        <v>1065</v>
      </c>
    </row>
    <row r="21" spans="1:7">
      <c r="A21" s="9">
        <v>16</v>
      </c>
      <c r="B21" s="9" t="s">
        <v>29</v>
      </c>
      <c r="C21" s="11"/>
      <c r="D21" s="11">
        <v>6</v>
      </c>
      <c r="E21" s="11">
        <v>525</v>
      </c>
      <c r="F21" s="11"/>
      <c r="G21" s="10">
        <f t="shared" si="0"/>
        <v>531</v>
      </c>
    </row>
    <row r="22" spans="1:7">
      <c r="A22" s="9">
        <v>17</v>
      </c>
      <c r="B22" s="9" t="s">
        <v>26</v>
      </c>
      <c r="C22" s="11">
        <v>5</v>
      </c>
      <c r="D22" s="11">
        <v>328</v>
      </c>
      <c r="E22" s="11"/>
      <c r="F22" s="11"/>
      <c r="G22" s="10">
        <f t="shared" si="0"/>
        <v>333</v>
      </c>
    </row>
    <row r="23" spans="1:7">
      <c r="A23" s="9">
        <v>18</v>
      </c>
      <c r="B23" s="9" t="s">
        <v>37</v>
      </c>
      <c r="C23" s="10"/>
      <c r="D23" s="10">
        <v>196</v>
      </c>
      <c r="E23" s="10">
        <v>11</v>
      </c>
      <c r="F23" s="10"/>
      <c r="G23" s="10">
        <f t="shared" si="0"/>
        <v>207</v>
      </c>
    </row>
    <row r="24" spans="1:7">
      <c r="A24" s="9">
        <v>19</v>
      </c>
      <c r="B24" s="9" t="s">
        <v>25</v>
      </c>
      <c r="C24" s="11"/>
      <c r="D24" s="11">
        <v>27</v>
      </c>
      <c r="E24" s="11">
        <v>49</v>
      </c>
      <c r="F24" s="11">
        <v>9</v>
      </c>
      <c r="G24" s="10">
        <f t="shared" si="0"/>
        <v>85</v>
      </c>
    </row>
    <row r="25" spans="1:7">
      <c r="A25" s="9">
        <v>20</v>
      </c>
      <c r="B25" s="9" t="s">
        <v>22</v>
      </c>
      <c r="C25" s="11"/>
      <c r="D25" s="11">
        <v>86</v>
      </c>
      <c r="E25" s="11"/>
      <c r="F25" s="11"/>
      <c r="G25" s="10">
        <f t="shared" si="0"/>
        <v>86</v>
      </c>
    </row>
    <row r="26" spans="1:7">
      <c r="A26" s="9">
        <v>21</v>
      </c>
      <c r="B26" s="9" t="s">
        <v>40</v>
      </c>
      <c r="C26" s="10">
        <v>40</v>
      </c>
      <c r="D26" s="10">
        <v>9</v>
      </c>
      <c r="E26" s="10"/>
      <c r="F26" s="10"/>
      <c r="G26" s="10">
        <f t="shared" si="0"/>
        <v>49</v>
      </c>
    </row>
    <row r="27" spans="1:7">
      <c r="A27" s="9">
        <v>22</v>
      </c>
      <c r="B27" s="9" t="s">
        <v>27</v>
      </c>
      <c r="C27" s="11"/>
      <c r="D27" s="11">
        <v>8</v>
      </c>
      <c r="E27" s="11">
        <v>43</v>
      </c>
      <c r="F27" s="11"/>
      <c r="G27" s="10">
        <f t="shared" si="0"/>
        <v>51</v>
      </c>
    </row>
    <row r="28" spans="1:7">
      <c r="A28" s="9">
        <v>23</v>
      </c>
      <c r="B28" s="9" t="s">
        <v>36</v>
      </c>
      <c r="C28" s="10"/>
      <c r="D28" s="10">
        <v>18</v>
      </c>
      <c r="E28" s="10">
        <v>20</v>
      </c>
      <c r="F28" s="10"/>
      <c r="G28" s="10">
        <f t="shared" si="0"/>
        <v>38</v>
      </c>
    </row>
    <row r="29" spans="1:7">
      <c r="A29" s="9">
        <v>24</v>
      </c>
      <c r="B29" s="53" t="s">
        <v>30</v>
      </c>
      <c r="C29" s="150" t="s">
        <v>223</v>
      </c>
      <c r="D29" s="150" t="s">
        <v>223</v>
      </c>
      <c r="E29" s="150" t="s">
        <v>223</v>
      </c>
      <c r="F29" s="150" t="s">
        <v>223</v>
      </c>
      <c r="G29" s="10">
        <f t="shared" si="0"/>
        <v>0</v>
      </c>
    </row>
    <row r="30" spans="1:7">
      <c r="A30" s="9">
        <v>25</v>
      </c>
      <c r="B30" s="9" t="s">
        <v>109</v>
      </c>
      <c r="C30" s="11"/>
      <c r="D30" s="11"/>
      <c r="E30" s="11">
        <v>10</v>
      </c>
      <c r="F30" s="11">
        <v>6</v>
      </c>
      <c r="G30" s="10">
        <f t="shared" si="0"/>
        <v>16</v>
      </c>
    </row>
    <row r="31" spans="1:7">
      <c r="A31" s="9">
        <v>26</v>
      </c>
      <c r="B31" s="9" t="s">
        <v>122</v>
      </c>
      <c r="C31" s="11"/>
      <c r="D31" s="11">
        <v>530</v>
      </c>
      <c r="E31" s="11">
        <v>76</v>
      </c>
      <c r="F31" s="11"/>
      <c r="G31" s="10">
        <f t="shared" si="0"/>
        <v>606</v>
      </c>
    </row>
    <row r="32" spans="1:7">
      <c r="A32" s="9">
        <v>27</v>
      </c>
      <c r="B32" s="9" t="s">
        <v>204</v>
      </c>
      <c r="C32" s="11"/>
      <c r="D32" s="11">
        <v>64</v>
      </c>
      <c r="E32" s="11">
        <v>140</v>
      </c>
      <c r="F32" s="11">
        <v>5</v>
      </c>
      <c r="G32" s="10">
        <f t="shared" si="0"/>
        <v>209</v>
      </c>
    </row>
    <row r="33" spans="1:7">
      <c r="A33" s="9">
        <v>28</v>
      </c>
      <c r="B33" s="9" t="s">
        <v>225</v>
      </c>
      <c r="C33" s="11"/>
      <c r="D33" s="11">
        <v>160</v>
      </c>
      <c r="E33" s="11">
        <v>6</v>
      </c>
      <c r="F33" s="11"/>
      <c r="G33" s="10">
        <f t="shared" si="0"/>
        <v>166</v>
      </c>
    </row>
    <row r="34" spans="1:7">
      <c r="A34" s="9">
        <v>29</v>
      </c>
      <c r="B34" s="9" t="s">
        <v>123</v>
      </c>
      <c r="C34" s="11"/>
      <c r="D34" s="11">
        <v>169</v>
      </c>
      <c r="E34" s="11">
        <v>11</v>
      </c>
      <c r="F34" s="11"/>
      <c r="G34" s="10">
        <f t="shared" si="0"/>
        <v>180</v>
      </c>
    </row>
    <row r="35" spans="1:7">
      <c r="A35" s="9">
        <v>30</v>
      </c>
      <c r="B35" s="9" t="s">
        <v>203</v>
      </c>
      <c r="C35" s="11">
        <v>45</v>
      </c>
      <c r="D35" s="11">
        <v>6</v>
      </c>
      <c r="E35" s="11"/>
      <c r="F35" s="11"/>
      <c r="G35" s="10">
        <f t="shared" si="0"/>
        <v>51</v>
      </c>
    </row>
    <row r="36" spans="1:7" s="2" customFormat="1">
      <c r="A36" s="16"/>
      <c r="B36" s="17" t="s">
        <v>49</v>
      </c>
      <c r="C36" s="18">
        <f>SUM(C2:C35)</f>
        <v>1290</v>
      </c>
      <c r="D36" s="18">
        <f>SUM(D2:D35)</f>
        <v>8395</v>
      </c>
      <c r="E36" s="18">
        <f>SUM(E2:E35)</f>
        <v>7243</v>
      </c>
      <c r="F36" s="18">
        <f>SUM(F2:F35)</f>
        <v>1044</v>
      </c>
      <c r="G36" s="18">
        <f>SUM(G2:G35)</f>
        <v>17972</v>
      </c>
    </row>
    <row r="37" spans="1:7" s="2" customFormat="1">
      <c r="A37" s="6"/>
      <c r="B37" s="6"/>
    </row>
    <row r="38" spans="1:7">
      <c r="G38" s="37"/>
    </row>
    <row r="39" spans="1:7">
      <c r="A39" s="13"/>
      <c r="B39" s="14" t="s">
        <v>55</v>
      </c>
      <c r="C39" s="14" t="s">
        <v>18</v>
      </c>
      <c r="D39" s="14" t="s">
        <v>19</v>
      </c>
      <c r="E39" s="14" t="s">
        <v>20</v>
      </c>
      <c r="F39" s="14" t="s">
        <v>21</v>
      </c>
      <c r="G39" s="14" t="s">
        <v>17</v>
      </c>
    </row>
    <row r="40" spans="1:7">
      <c r="A40" s="8">
        <v>1</v>
      </c>
      <c r="B40" s="9" t="s">
        <v>31</v>
      </c>
      <c r="C40" s="15"/>
      <c r="D40" s="15"/>
      <c r="E40" s="10">
        <v>37683</v>
      </c>
      <c r="F40" s="10"/>
      <c r="G40" s="10">
        <f t="shared" ref="G40:G45" si="1">SUM(C40:F40)</f>
        <v>37683</v>
      </c>
    </row>
    <row r="41" spans="1:7">
      <c r="A41" s="8"/>
      <c r="B41" s="9" t="s">
        <v>32</v>
      </c>
      <c r="C41" s="15"/>
      <c r="D41" s="15"/>
      <c r="E41" s="10"/>
      <c r="F41" s="10">
        <v>1472</v>
      </c>
      <c r="G41" s="10">
        <f t="shared" si="1"/>
        <v>1472</v>
      </c>
    </row>
    <row r="42" spans="1:7">
      <c r="A42" s="8">
        <v>2</v>
      </c>
      <c r="B42" s="53" t="s">
        <v>33</v>
      </c>
      <c r="C42" s="156" t="s">
        <v>223</v>
      </c>
      <c r="D42" s="156" t="s">
        <v>223</v>
      </c>
      <c r="E42" s="156" t="s">
        <v>223</v>
      </c>
      <c r="F42" s="156" t="s">
        <v>223</v>
      </c>
      <c r="G42" s="10">
        <f t="shared" si="1"/>
        <v>0</v>
      </c>
    </row>
    <row r="43" spans="1:7">
      <c r="A43" s="8">
        <v>3</v>
      </c>
      <c r="B43" s="9" t="s">
        <v>34</v>
      </c>
      <c r="C43" s="15"/>
      <c r="D43" s="15"/>
      <c r="E43" s="10">
        <v>22596</v>
      </c>
      <c r="F43" s="10"/>
      <c r="G43" s="10">
        <f t="shared" si="1"/>
        <v>22596</v>
      </c>
    </row>
    <row r="44" spans="1:7">
      <c r="A44" s="8">
        <v>4</v>
      </c>
      <c r="B44" s="9" t="s">
        <v>44</v>
      </c>
      <c r="C44" s="15"/>
      <c r="D44" s="15"/>
      <c r="E44" s="10"/>
      <c r="F44" s="10">
        <v>998</v>
      </c>
      <c r="G44" s="10">
        <f t="shared" si="1"/>
        <v>998</v>
      </c>
    </row>
    <row r="45" spans="1:7">
      <c r="A45" s="8"/>
      <c r="B45" s="9" t="s">
        <v>45</v>
      </c>
      <c r="C45" s="15"/>
      <c r="D45" s="15"/>
      <c r="E45" s="10">
        <v>17793</v>
      </c>
      <c r="F45" s="10"/>
      <c r="G45" s="10">
        <f t="shared" si="1"/>
        <v>17793</v>
      </c>
    </row>
    <row r="46" spans="1:7">
      <c r="A46" s="8">
        <v>5</v>
      </c>
      <c r="B46" s="53" t="s">
        <v>113</v>
      </c>
      <c r="C46" s="156" t="s">
        <v>223</v>
      </c>
      <c r="D46" s="156" t="s">
        <v>223</v>
      </c>
      <c r="E46" s="150" t="s">
        <v>223</v>
      </c>
      <c r="F46" s="150" t="s">
        <v>223</v>
      </c>
      <c r="G46" s="10">
        <f>SUM(C46:F46)</f>
        <v>0</v>
      </c>
    </row>
    <row r="47" spans="1:7">
      <c r="A47" s="13"/>
      <c r="B47" s="14" t="s">
        <v>129</v>
      </c>
      <c r="C47" s="14"/>
      <c r="D47" s="14"/>
      <c r="E47" s="18">
        <f>SUM(E40:E46)</f>
        <v>78072</v>
      </c>
      <c r="F47" s="18">
        <f>SUM(F40:F46)</f>
        <v>2470</v>
      </c>
      <c r="G47" s="18">
        <f t="shared" ref="G47" si="2">SUM(G40:G46)</f>
        <v>80542</v>
      </c>
    </row>
    <row r="49" spans="7:7">
      <c r="G49" s="37"/>
    </row>
    <row r="50" spans="7:7">
      <c r="G50" s="37"/>
    </row>
    <row r="52" spans="7:7">
      <c r="G52" s="3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&amp;C&amp;"-,Negrita"Suscripciones a Internet por ancho de banda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workbookViewId="0">
      <pane xSplit="1" ySplit="4" topLeftCell="B44" activePane="bottomRight" state="frozen"/>
      <selection pane="topRight" activeCell="B1" sqref="B1"/>
      <selection pane="bottomLeft" activeCell="A5" sqref="A5"/>
      <selection pane="bottomRight" activeCell="J43" sqref="J43"/>
    </sheetView>
  </sheetViews>
  <sheetFormatPr baseColWidth="10" defaultRowHeight="15"/>
  <cols>
    <col min="1" max="1" width="61" bestFit="1" customWidth="1"/>
    <col min="2" max="2" width="10.28515625" customWidth="1"/>
    <col min="3" max="3" width="9" customWidth="1"/>
    <col min="4" max="4" width="9.85546875" customWidth="1"/>
    <col min="5" max="5" width="9.28515625" customWidth="1"/>
    <col min="6" max="6" width="10.140625" customWidth="1"/>
    <col min="7" max="7" width="8.85546875" customWidth="1"/>
    <col min="8" max="8" width="10.5703125" customWidth="1"/>
    <col min="9" max="11" width="10" customWidth="1"/>
    <col min="12" max="12" width="10.140625" customWidth="1"/>
    <col min="13" max="13" width="9.5703125" customWidth="1"/>
    <col min="14" max="14" width="10.85546875" customWidth="1"/>
    <col min="15" max="15" width="14.5703125" customWidth="1"/>
    <col min="16" max="16" width="10.28515625" customWidth="1"/>
    <col min="17" max="17" width="7.42578125" customWidth="1"/>
  </cols>
  <sheetData>
    <row r="1" spans="1:19" s="2" customFormat="1">
      <c r="A1" s="275" t="s">
        <v>211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78"/>
    </row>
    <row r="2" spans="1:19" s="2" customFormat="1">
      <c r="A2" s="275"/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78"/>
    </row>
    <row r="3" spans="1:19" s="2" customFormat="1">
      <c r="A3" s="276" t="s">
        <v>1</v>
      </c>
      <c r="B3" s="79" t="s">
        <v>76</v>
      </c>
      <c r="C3" s="79" t="s">
        <v>77</v>
      </c>
      <c r="D3" s="277" t="s">
        <v>78</v>
      </c>
      <c r="E3" s="277"/>
      <c r="F3" s="278" t="s">
        <v>79</v>
      </c>
      <c r="G3" s="278"/>
      <c r="H3" s="278" t="s">
        <v>80</v>
      </c>
      <c r="I3" s="278"/>
      <c r="J3" s="279" t="s">
        <v>81</v>
      </c>
      <c r="K3" s="279"/>
      <c r="L3" s="278" t="s">
        <v>82</v>
      </c>
      <c r="M3" s="278"/>
      <c r="N3" s="278" t="s">
        <v>83</v>
      </c>
      <c r="O3" s="278"/>
      <c r="P3" s="278" t="s">
        <v>84</v>
      </c>
      <c r="Q3" s="278"/>
      <c r="R3" s="280" t="s">
        <v>86</v>
      </c>
      <c r="S3" s="78"/>
    </row>
    <row r="4" spans="1:19" s="2" customFormat="1">
      <c r="A4" s="276"/>
      <c r="B4" s="39" t="s">
        <v>87</v>
      </c>
      <c r="C4" s="39" t="s">
        <v>87</v>
      </c>
      <c r="D4" s="39" t="s">
        <v>88</v>
      </c>
      <c r="E4" s="39" t="s">
        <v>87</v>
      </c>
      <c r="F4" s="39" t="s">
        <v>88</v>
      </c>
      <c r="G4" s="39" t="s">
        <v>87</v>
      </c>
      <c r="H4" s="39" t="s">
        <v>88</v>
      </c>
      <c r="I4" s="39" t="s">
        <v>87</v>
      </c>
      <c r="J4" s="39" t="s">
        <v>88</v>
      </c>
      <c r="K4" s="39" t="s">
        <v>87</v>
      </c>
      <c r="L4" s="39" t="s">
        <v>88</v>
      </c>
      <c r="M4" s="39" t="s">
        <v>87</v>
      </c>
      <c r="N4" s="39" t="s">
        <v>88</v>
      </c>
      <c r="O4" s="39" t="s">
        <v>87</v>
      </c>
      <c r="P4" s="39" t="s">
        <v>88</v>
      </c>
      <c r="Q4" s="39" t="s">
        <v>87</v>
      </c>
      <c r="R4" s="280"/>
      <c r="S4" s="78"/>
    </row>
    <row r="5" spans="1:19" s="2" customFormat="1">
      <c r="A5" s="44" t="s">
        <v>106</v>
      </c>
      <c r="B5" s="29"/>
      <c r="C5" s="29">
        <v>0</v>
      </c>
      <c r="D5" s="29">
        <v>0</v>
      </c>
      <c r="E5" s="29">
        <v>0</v>
      </c>
      <c r="F5" s="29"/>
      <c r="G5" s="29"/>
      <c r="H5" s="29">
        <v>0</v>
      </c>
      <c r="I5" s="29">
        <v>0</v>
      </c>
      <c r="J5" s="29"/>
      <c r="K5" s="29"/>
      <c r="L5" s="29"/>
      <c r="M5" s="29"/>
      <c r="N5" s="29">
        <v>0</v>
      </c>
      <c r="O5" s="29">
        <v>0</v>
      </c>
      <c r="P5" s="29">
        <v>0</v>
      </c>
      <c r="Q5" s="29">
        <v>0</v>
      </c>
      <c r="R5" s="30">
        <f t="shared" ref="R5:R37" si="0">SUM(B5:Q5)</f>
        <v>0</v>
      </c>
      <c r="S5" s="78"/>
    </row>
    <row r="6" spans="1:19" s="2" customFormat="1">
      <c r="A6" s="44" t="s">
        <v>16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/>
      <c r="N6" s="29">
        <v>0</v>
      </c>
      <c r="O6" s="29">
        <v>0</v>
      </c>
      <c r="P6" s="29">
        <v>0</v>
      </c>
      <c r="Q6" s="29">
        <v>0</v>
      </c>
      <c r="R6" s="30">
        <f t="shared" si="0"/>
        <v>0</v>
      </c>
      <c r="S6" s="78"/>
    </row>
    <row r="7" spans="1:19" s="2" customFormat="1">
      <c r="A7" s="41" t="s">
        <v>98</v>
      </c>
      <c r="B7" s="29">
        <v>37683</v>
      </c>
      <c r="C7" s="29">
        <v>1472</v>
      </c>
      <c r="D7" s="29">
        <v>0</v>
      </c>
      <c r="E7" s="29">
        <v>0</v>
      </c>
      <c r="F7" s="29">
        <v>1154</v>
      </c>
      <c r="G7" s="29">
        <v>2852</v>
      </c>
      <c r="H7" s="29">
        <v>0</v>
      </c>
      <c r="I7" s="29">
        <v>0</v>
      </c>
      <c r="J7" s="29">
        <v>14</v>
      </c>
      <c r="K7" s="29">
        <v>993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30">
        <f t="shared" si="0"/>
        <v>44168</v>
      </c>
      <c r="S7" s="78"/>
    </row>
    <row r="8" spans="1:19" s="2" customFormat="1">
      <c r="A8" s="41" t="s">
        <v>97</v>
      </c>
      <c r="B8" s="29">
        <v>0</v>
      </c>
      <c r="C8" s="151" t="s">
        <v>223</v>
      </c>
      <c r="D8" s="29">
        <v>0</v>
      </c>
      <c r="E8" s="151" t="s">
        <v>223</v>
      </c>
      <c r="F8" s="29">
        <v>0</v>
      </c>
      <c r="G8" s="29">
        <v>0</v>
      </c>
      <c r="H8" s="29">
        <v>0</v>
      </c>
      <c r="I8" s="29">
        <v>0</v>
      </c>
      <c r="J8" s="29"/>
      <c r="K8" s="151" t="s">
        <v>223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30">
        <f t="shared" si="0"/>
        <v>0</v>
      </c>
      <c r="S8" s="78"/>
    </row>
    <row r="9" spans="1:19" s="2" customFormat="1">
      <c r="A9" s="41" t="s">
        <v>14</v>
      </c>
      <c r="B9" s="29">
        <v>22596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30">
        <f>SUM(B9:Q9)</f>
        <v>22596</v>
      </c>
      <c r="S9" s="78"/>
    </row>
    <row r="10" spans="1:19" s="2" customFormat="1">
      <c r="A10" s="41" t="s">
        <v>96</v>
      </c>
      <c r="B10" s="29">
        <v>17793</v>
      </c>
      <c r="C10" s="29">
        <v>998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0</v>
      </c>
      <c r="R10" s="30">
        <f t="shared" si="0"/>
        <v>18791</v>
      </c>
      <c r="S10" s="78"/>
    </row>
    <row r="11" spans="1:19" s="2" customFormat="1">
      <c r="A11" s="42" t="s">
        <v>39</v>
      </c>
      <c r="B11" s="29">
        <v>0</v>
      </c>
      <c r="C11" s="29">
        <v>0</v>
      </c>
      <c r="D11" s="29"/>
      <c r="E11" s="29"/>
      <c r="F11" s="29">
        <v>0</v>
      </c>
      <c r="G11" s="29">
        <v>0</v>
      </c>
      <c r="H11" s="29">
        <v>0</v>
      </c>
      <c r="I11" s="155" t="s">
        <v>223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>
        <v>0</v>
      </c>
      <c r="Q11" s="29">
        <v>0</v>
      </c>
      <c r="R11" s="30">
        <f t="shared" si="0"/>
        <v>0</v>
      </c>
      <c r="S11" s="78"/>
    </row>
    <row r="12" spans="1:19" s="2" customFormat="1">
      <c r="A12" s="41" t="s">
        <v>35</v>
      </c>
      <c r="B12" s="29">
        <v>0</v>
      </c>
      <c r="C12" s="29">
        <v>0</v>
      </c>
      <c r="D12" s="29">
        <v>0</v>
      </c>
      <c r="E12" s="29">
        <v>0</v>
      </c>
      <c r="F12" s="29"/>
      <c r="G12" s="29">
        <v>3596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30">
        <f t="shared" si="0"/>
        <v>3596</v>
      </c>
      <c r="S12" s="78"/>
    </row>
    <row r="13" spans="1:19" s="2" customFormat="1">
      <c r="A13" s="43" t="s">
        <v>41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2270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30">
        <f t="shared" si="0"/>
        <v>2270</v>
      </c>
      <c r="S13" s="78"/>
    </row>
    <row r="14" spans="1:19" s="2" customFormat="1" ht="16.5">
      <c r="A14" s="41" t="s">
        <v>95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820</v>
      </c>
      <c r="J14" s="40">
        <v>0</v>
      </c>
      <c r="K14" s="29">
        <v>759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22</v>
      </c>
      <c r="R14" s="30">
        <f t="shared" si="0"/>
        <v>1601</v>
      </c>
      <c r="S14" s="78"/>
    </row>
    <row r="15" spans="1:19" s="2" customFormat="1">
      <c r="A15" s="41" t="s">
        <v>48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150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30">
        <f t="shared" si="0"/>
        <v>150</v>
      </c>
      <c r="S15" s="78"/>
    </row>
    <row r="16" spans="1:19" s="2" customFormat="1">
      <c r="A16" s="41" t="s">
        <v>99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375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30">
        <f t="shared" si="0"/>
        <v>375</v>
      </c>
      <c r="S16" s="78"/>
    </row>
    <row r="17" spans="1:19" s="2" customFormat="1">
      <c r="A17" s="44" t="s">
        <v>28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1187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0">
        <f t="shared" si="0"/>
        <v>1187</v>
      </c>
    </row>
    <row r="18" spans="1:19" s="2" customFormat="1">
      <c r="A18" s="41" t="s">
        <v>90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153" t="s">
        <v>223</v>
      </c>
      <c r="N18" s="31">
        <v>0</v>
      </c>
      <c r="O18" s="31">
        <v>0</v>
      </c>
      <c r="P18" s="31">
        <v>0</v>
      </c>
      <c r="Q18" s="31">
        <v>0</v>
      </c>
      <c r="R18" s="30">
        <f t="shared" si="0"/>
        <v>0</v>
      </c>
      <c r="S18" s="78"/>
    </row>
    <row r="19" spans="1:19" s="2" customFormat="1">
      <c r="A19" s="41" t="s">
        <v>94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151" t="s">
        <v>224</v>
      </c>
      <c r="I19" s="151" t="s">
        <v>223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29">
        <v>0</v>
      </c>
      <c r="R19" s="30">
        <f t="shared" si="0"/>
        <v>0</v>
      </c>
      <c r="S19" s="78"/>
    </row>
    <row r="20" spans="1:19" s="2" customFormat="1">
      <c r="A20" s="41" t="s">
        <v>24</v>
      </c>
      <c r="B20" s="29">
        <v>0</v>
      </c>
      <c r="C20" s="29">
        <v>0</v>
      </c>
      <c r="D20" s="29">
        <v>0</v>
      </c>
      <c r="E20" s="29">
        <v>0</v>
      </c>
      <c r="F20" s="29">
        <v>32</v>
      </c>
      <c r="G20" s="29">
        <v>30</v>
      </c>
      <c r="H20" s="29">
        <v>0</v>
      </c>
      <c r="I20" s="29">
        <v>0</v>
      </c>
      <c r="J20" s="29">
        <v>0</v>
      </c>
      <c r="K20" s="29">
        <v>45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30">
        <f t="shared" si="0"/>
        <v>107</v>
      </c>
      <c r="S20" s="78"/>
    </row>
    <row r="21" spans="1:19" s="2" customFormat="1">
      <c r="A21" s="41" t="s">
        <v>100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152" t="s">
        <v>223</v>
      </c>
      <c r="M21" s="152" t="s">
        <v>223</v>
      </c>
      <c r="N21" s="29">
        <v>0</v>
      </c>
      <c r="O21" s="29">
        <v>0</v>
      </c>
      <c r="P21" s="29">
        <v>0</v>
      </c>
      <c r="Q21" s="29">
        <v>0</v>
      </c>
      <c r="R21" s="30">
        <f t="shared" si="0"/>
        <v>0</v>
      </c>
      <c r="S21" s="78"/>
    </row>
    <row r="22" spans="1:19" s="2" customFormat="1" ht="19.5" customHeight="1">
      <c r="A22" s="41" t="s">
        <v>38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1065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30">
        <f t="shared" si="0"/>
        <v>1065</v>
      </c>
      <c r="S22" s="78"/>
    </row>
    <row r="23" spans="1:19" s="2" customFormat="1">
      <c r="A23" s="41" t="s">
        <v>29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401</v>
      </c>
      <c r="J23" s="31">
        <v>0</v>
      </c>
      <c r="K23" s="31">
        <v>130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0">
        <f t="shared" si="0"/>
        <v>531</v>
      </c>
      <c r="S23" s="78"/>
    </row>
    <row r="24" spans="1:19" s="2" customFormat="1">
      <c r="A24" s="41" t="s">
        <v>26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5</v>
      </c>
      <c r="I24" s="29">
        <v>328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30">
        <f t="shared" si="0"/>
        <v>333</v>
      </c>
      <c r="S24" s="78"/>
    </row>
    <row r="25" spans="1:19" s="2" customFormat="1">
      <c r="A25" s="43" t="s">
        <v>92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/>
      <c r="M25" s="29">
        <v>207</v>
      </c>
      <c r="N25" s="29">
        <v>0</v>
      </c>
      <c r="O25" s="29">
        <v>0</v>
      </c>
      <c r="P25" s="29">
        <v>0</v>
      </c>
      <c r="Q25" s="29">
        <v>0</v>
      </c>
      <c r="R25" s="30">
        <f t="shared" si="0"/>
        <v>207</v>
      </c>
      <c r="S25" s="78"/>
    </row>
    <row r="26" spans="1:19" s="2" customFormat="1">
      <c r="A26" s="41" t="s">
        <v>25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48</v>
      </c>
      <c r="H26" s="29">
        <v>0</v>
      </c>
      <c r="I26" s="29">
        <v>0</v>
      </c>
      <c r="J26" s="29">
        <v>0</v>
      </c>
      <c r="K26" s="29">
        <v>37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30">
        <f t="shared" si="0"/>
        <v>85</v>
      </c>
      <c r="S26" s="78"/>
    </row>
    <row r="27" spans="1:19" s="2" customFormat="1">
      <c r="A27" s="41" t="s">
        <v>93</v>
      </c>
      <c r="B27" s="29">
        <v>0</v>
      </c>
      <c r="C27" s="29">
        <v>0</v>
      </c>
      <c r="D27" s="29">
        <v>0</v>
      </c>
      <c r="E27" s="29"/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86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30">
        <f t="shared" si="0"/>
        <v>86</v>
      </c>
      <c r="S27" s="78"/>
    </row>
    <row r="28" spans="1:19" s="2" customFormat="1">
      <c r="A28" s="41" t="s">
        <v>91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40</v>
      </c>
      <c r="Q28" s="29">
        <v>9</v>
      </c>
      <c r="R28" s="30">
        <f t="shared" si="0"/>
        <v>49</v>
      </c>
      <c r="S28" s="78"/>
    </row>
    <row r="29" spans="1:19" s="2" customFormat="1">
      <c r="A29" s="41" t="s">
        <v>27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/>
      <c r="O29" s="31">
        <v>51</v>
      </c>
      <c r="P29" s="31">
        <v>0</v>
      </c>
      <c r="Q29" s="31">
        <v>0</v>
      </c>
      <c r="R29" s="30">
        <f t="shared" si="0"/>
        <v>51</v>
      </c>
      <c r="S29" s="78"/>
    </row>
    <row r="30" spans="1:19" s="2" customFormat="1">
      <c r="A30" s="41" t="s">
        <v>36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38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0">
        <f t="shared" si="0"/>
        <v>38</v>
      </c>
      <c r="S30" s="78"/>
    </row>
    <row r="31" spans="1:19" s="2" customFormat="1">
      <c r="A31" s="41" t="s">
        <v>30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/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0">
        <f t="shared" si="0"/>
        <v>0</v>
      </c>
      <c r="S31" s="78"/>
    </row>
    <row r="32" spans="1:19" s="2" customFormat="1">
      <c r="A32" s="41" t="s">
        <v>89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10</v>
      </c>
      <c r="J32" s="31">
        <v>0</v>
      </c>
      <c r="K32" s="31">
        <v>6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0">
        <f t="shared" si="0"/>
        <v>16</v>
      </c>
      <c r="S32" s="78"/>
    </row>
    <row r="33" spans="1:19" s="2" customFormat="1">
      <c r="A33" s="9" t="s">
        <v>122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431</v>
      </c>
      <c r="H33" s="31">
        <v>0</v>
      </c>
      <c r="I33" s="31">
        <v>175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0">
        <f t="shared" si="0"/>
        <v>606</v>
      </c>
      <c r="S33" s="78"/>
    </row>
    <row r="34" spans="1:19" s="2" customFormat="1">
      <c r="A34" s="9" t="s">
        <v>204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209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0">
        <f t="shared" si="0"/>
        <v>209</v>
      </c>
      <c r="S34" s="78"/>
    </row>
    <row r="35" spans="1:19" s="2" customFormat="1">
      <c r="A35" s="9" t="s">
        <v>226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166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0">
        <f t="shared" si="0"/>
        <v>166</v>
      </c>
      <c r="S35" s="78"/>
    </row>
    <row r="36" spans="1:19" s="2" customFormat="1">
      <c r="A36" s="9" t="s">
        <v>123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31">
        <v>180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0">
        <f t="shared" si="0"/>
        <v>180</v>
      </c>
      <c r="S36" s="78"/>
    </row>
    <row r="37" spans="1:19" s="2" customFormat="1">
      <c r="A37" s="9" t="s">
        <v>227</v>
      </c>
      <c r="B37" s="31">
        <v>0</v>
      </c>
      <c r="C37" s="31">
        <v>0</v>
      </c>
      <c r="D37" s="31">
        <v>0</v>
      </c>
      <c r="E37" s="31">
        <v>0</v>
      </c>
      <c r="F37" s="31">
        <v>45</v>
      </c>
      <c r="G37" s="31">
        <v>6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0">
        <f t="shared" si="0"/>
        <v>51</v>
      </c>
      <c r="S37" s="78"/>
    </row>
    <row r="38" spans="1:19" s="2" customFormat="1">
      <c r="A38" s="3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1"/>
    </row>
    <row r="39" spans="1:19" s="2" customFormat="1">
      <c r="A39" s="45" t="s">
        <v>56</v>
      </c>
      <c r="B39" s="272">
        <f>B42+C42</f>
        <v>80542</v>
      </c>
      <c r="C39" s="273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1"/>
    </row>
    <row r="40" spans="1:19" s="2" customFormat="1">
      <c r="A40" s="45" t="s">
        <v>111</v>
      </c>
      <c r="B40" s="22"/>
      <c r="C40" s="22"/>
      <c r="D40" s="272">
        <f>SUM(D42:Q42)</f>
        <v>17972</v>
      </c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1"/>
    </row>
    <row r="41" spans="1:19" s="2" customFormat="1">
      <c r="A41" s="45"/>
      <c r="B41" s="22"/>
      <c r="C41" s="22"/>
      <c r="D41" s="46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21"/>
    </row>
    <row r="42" spans="1:19" s="2" customFormat="1">
      <c r="A42" s="48" t="s">
        <v>112</v>
      </c>
      <c r="B42" s="30">
        <f>SUM(B5:B32)</f>
        <v>78072</v>
      </c>
      <c r="C42" s="30">
        <f>SUM(C5:C35)</f>
        <v>2470</v>
      </c>
      <c r="D42" s="30">
        <f t="shared" ref="D42:R42" si="1">SUM(D5:D37)</f>
        <v>0</v>
      </c>
      <c r="E42" s="30">
        <f t="shared" si="1"/>
        <v>0</v>
      </c>
      <c r="F42" s="30">
        <f t="shared" si="1"/>
        <v>1231</v>
      </c>
      <c r="G42" s="30">
        <f t="shared" si="1"/>
        <v>10891</v>
      </c>
      <c r="H42" s="30">
        <f t="shared" si="1"/>
        <v>5</v>
      </c>
      <c r="I42" s="30">
        <f t="shared" si="1"/>
        <v>2259</v>
      </c>
      <c r="J42" s="30">
        <f t="shared" si="1"/>
        <v>14</v>
      </c>
      <c r="K42" s="30">
        <f t="shared" si="1"/>
        <v>3243</v>
      </c>
      <c r="L42" s="30">
        <f t="shared" si="1"/>
        <v>0</v>
      </c>
      <c r="M42" s="30">
        <f t="shared" si="1"/>
        <v>207</v>
      </c>
      <c r="N42" s="30">
        <f t="shared" si="1"/>
        <v>0</v>
      </c>
      <c r="O42" s="30">
        <f t="shared" si="1"/>
        <v>51</v>
      </c>
      <c r="P42" s="30">
        <f t="shared" si="1"/>
        <v>40</v>
      </c>
      <c r="Q42" s="30">
        <f t="shared" si="1"/>
        <v>31</v>
      </c>
      <c r="R42" s="30">
        <f t="shared" si="1"/>
        <v>98514</v>
      </c>
    </row>
    <row r="43" spans="1:19" s="2" customFormat="1" ht="126.75" customHeight="1">
      <c r="A43" s="3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</row>
    <row r="44" spans="1:19" s="2" customFormat="1">
      <c r="A44" s="33" t="s">
        <v>110</v>
      </c>
      <c r="B44" s="33" t="s">
        <v>101</v>
      </c>
      <c r="C44" s="33" t="s">
        <v>102</v>
      </c>
      <c r="D44" s="22"/>
      <c r="E44" s="22"/>
      <c r="F44" s="22"/>
      <c r="G44" s="22"/>
      <c r="H44" s="22"/>
      <c r="I44" s="22"/>
      <c r="J44" s="154"/>
      <c r="K44" s="22"/>
      <c r="L44" s="22"/>
      <c r="M44" s="22"/>
      <c r="N44" s="22"/>
      <c r="O44" s="22"/>
      <c r="P44" s="22"/>
      <c r="Q44" s="22"/>
      <c r="R44" s="22"/>
    </row>
    <row r="45" spans="1:19" s="2" customFormat="1">
      <c r="A45" s="80" t="s">
        <v>103</v>
      </c>
      <c r="B45" s="23" t="s">
        <v>87</v>
      </c>
      <c r="C45" s="24">
        <f>B42</f>
        <v>78072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</row>
    <row r="46" spans="1:19" s="2" customFormat="1">
      <c r="A46" s="80" t="s">
        <v>104</v>
      </c>
      <c r="B46" s="23" t="s">
        <v>87</v>
      </c>
      <c r="C46" s="24">
        <f>C42</f>
        <v>2470</v>
      </c>
      <c r="D46" s="21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</row>
    <row r="47" spans="1:19" s="2" customFormat="1">
      <c r="A47" s="274" t="s">
        <v>78</v>
      </c>
      <c r="B47" s="25" t="s">
        <v>18</v>
      </c>
      <c r="C47" s="26">
        <f>+D42</f>
        <v>0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</row>
    <row r="48" spans="1:19" s="2" customFormat="1">
      <c r="A48" s="274"/>
      <c r="B48" s="27" t="s">
        <v>87</v>
      </c>
      <c r="C48" s="28">
        <f>E42</f>
        <v>0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</row>
    <row r="49" spans="1:18" s="2" customFormat="1">
      <c r="A49" s="271" t="s">
        <v>79</v>
      </c>
      <c r="B49" s="25" t="s">
        <v>18</v>
      </c>
      <c r="C49" s="26">
        <f>F42</f>
        <v>1231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1:18" s="2" customFormat="1">
      <c r="A50" s="271"/>
      <c r="B50" s="27" t="s">
        <v>87</v>
      </c>
      <c r="C50" s="28">
        <f>G42</f>
        <v>10891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1:18" s="2" customFormat="1">
      <c r="A51" s="271" t="s">
        <v>80</v>
      </c>
      <c r="B51" s="25" t="s">
        <v>18</v>
      </c>
      <c r="C51" s="26">
        <f>H42</f>
        <v>5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</row>
    <row r="52" spans="1:18" s="2" customFormat="1">
      <c r="A52" s="271"/>
      <c r="B52" s="27" t="s">
        <v>87</v>
      </c>
      <c r="C52" s="28">
        <f>I42</f>
        <v>2259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</row>
    <row r="53" spans="1:18" s="2" customFormat="1">
      <c r="A53" s="271" t="s">
        <v>105</v>
      </c>
      <c r="B53" s="25" t="s">
        <v>18</v>
      </c>
      <c r="C53" s="26">
        <f>J42</f>
        <v>14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</row>
    <row r="54" spans="1:18" s="2" customFormat="1">
      <c r="A54" s="271"/>
      <c r="B54" s="27" t="s">
        <v>87</v>
      </c>
      <c r="C54" s="28">
        <f>K42</f>
        <v>3243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18" s="2" customFormat="1">
      <c r="A55" s="271" t="s">
        <v>82</v>
      </c>
      <c r="B55" s="25" t="s">
        <v>18</v>
      </c>
      <c r="C55" s="26">
        <f>L42</f>
        <v>0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</row>
    <row r="56" spans="1:18" s="2" customFormat="1">
      <c r="A56" s="271"/>
      <c r="B56" s="27" t="s">
        <v>87</v>
      </c>
      <c r="C56" s="28">
        <f>M42</f>
        <v>207</v>
      </c>
      <c r="D56" s="21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</row>
    <row r="57" spans="1:18" s="2" customFormat="1">
      <c r="A57" s="271" t="s">
        <v>83</v>
      </c>
      <c r="B57" s="25" t="s">
        <v>18</v>
      </c>
      <c r="C57" s="26">
        <f>N42</f>
        <v>0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</row>
    <row r="58" spans="1:18" s="2" customFormat="1">
      <c r="A58" s="271"/>
      <c r="B58" s="27" t="s">
        <v>87</v>
      </c>
      <c r="C58" s="28">
        <f>O42</f>
        <v>51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spans="1:18" s="2" customFormat="1">
      <c r="A59" s="271" t="s">
        <v>84</v>
      </c>
      <c r="B59" s="25" t="s">
        <v>18</v>
      </c>
      <c r="C59" s="26">
        <f>P42</f>
        <v>40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18" s="2" customFormat="1">
      <c r="A60" s="271"/>
      <c r="B60" s="27" t="s">
        <v>87</v>
      </c>
      <c r="C60" s="28">
        <f>Q42</f>
        <v>31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18" s="2" customFormat="1">
      <c r="A61" s="271" t="s">
        <v>85</v>
      </c>
      <c r="B61" s="25" t="s">
        <v>18</v>
      </c>
      <c r="C61" s="26">
        <v>0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</row>
    <row r="62" spans="1:18" s="2" customFormat="1">
      <c r="A62" s="271"/>
      <c r="B62" s="27" t="s">
        <v>87</v>
      </c>
      <c r="C62" s="28">
        <v>0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</row>
    <row r="63" spans="1:18" s="2" customForma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</row>
    <row r="64" spans="1:18" s="2" customFormat="1">
      <c r="A64" s="34" t="s">
        <v>212</v>
      </c>
      <c r="B64" s="35"/>
      <c r="C64" s="36">
        <f>SUM(C45:C63)</f>
        <v>98514</v>
      </c>
      <c r="D64" s="21"/>
      <c r="E64" s="21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</row>
    <row r="65" spans="3:3" s="2" customFormat="1"/>
    <row r="66" spans="3:3" s="2" customFormat="1"/>
    <row r="67" spans="3:3" s="2" customFormat="1"/>
    <row r="68" spans="3:3" s="2" customFormat="1"/>
    <row r="69" spans="3:3" s="2" customFormat="1">
      <c r="C69" s="38"/>
    </row>
    <row r="70" spans="3:3" s="2" customFormat="1"/>
    <row r="71" spans="3:3" s="2" customFormat="1"/>
    <row r="72" spans="3:3" s="2" customFormat="1"/>
    <row r="73" spans="3:3" s="2" customFormat="1"/>
    <row r="74" spans="3:3" s="2" customFormat="1"/>
    <row r="75" spans="3:3" s="2" customFormat="1"/>
    <row r="76" spans="3:3" s="2" customFormat="1"/>
  </sheetData>
  <mergeCells count="20">
    <mergeCell ref="A1:R2"/>
    <mergeCell ref="A3:A4"/>
    <mergeCell ref="D3:E3"/>
    <mergeCell ref="F3:G3"/>
    <mergeCell ref="H3:I3"/>
    <mergeCell ref="J3:K3"/>
    <mergeCell ref="L3:M3"/>
    <mergeCell ref="N3:O3"/>
    <mergeCell ref="P3:Q3"/>
    <mergeCell ref="R3:R4"/>
    <mergeCell ref="D40:Q40"/>
    <mergeCell ref="A47:A48"/>
    <mergeCell ref="A49:A50"/>
    <mergeCell ref="A51:A52"/>
    <mergeCell ref="A53:A54"/>
    <mergeCell ref="A55:A56"/>
    <mergeCell ref="A57:A58"/>
    <mergeCell ref="A59:A60"/>
    <mergeCell ref="A61:A62"/>
    <mergeCell ref="B39:C39"/>
  </mergeCells>
  <pageMargins left="0.31496062992125984" right="0.11811023622047245" top="0.74803149606299213" bottom="0.74803149606299213" header="0.31496062992125984" footer="0.31496062992125984"/>
  <pageSetup paperSize="9" scale="71" orientation="landscape" verticalDpi="0" r:id="rId1"/>
  <headerFooter>
    <oddHeader>&amp;C&amp;"-,Negrita"Suscripciones de Internet por tipo de tecnología de acceso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K9" sqref="K9"/>
    </sheetView>
  </sheetViews>
  <sheetFormatPr baseColWidth="10" defaultRowHeight="15"/>
  <cols>
    <col min="1" max="1" width="39.7109375" customWidth="1"/>
    <col min="2" max="7" width="6.140625" customWidth="1"/>
    <col min="8" max="9" width="7.140625" customWidth="1"/>
    <col min="11" max="11" width="12.5703125" bestFit="1" customWidth="1"/>
    <col min="12" max="12" width="15.140625" bestFit="1" customWidth="1"/>
    <col min="13" max="13" width="16.28515625" bestFit="1" customWidth="1"/>
  </cols>
  <sheetData>
    <row r="1" spans="1:14" ht="15" customHeight="1">
      <c r="A1" s="286" t="s">
        <v>290</v>
      </c>
      <c r="B1" s="287">
        <v>2010</v>
      </c>
      <c r="C1" s="288">
        <v>2011</v>
      </c>
      <c r="D1" s="288">
        <v>2012</v>
      </c>
      <c r="E1" s="288">
        <v>2013</v>
      </c>
      <c r="F1" s="288">
        <v>2014</v>
      </c>
      <c r="G1" s="288">
        <v>2015</v>
      </c>
      <c r="H1" s="288">
        <v>2016</v>
      </c>
      <c r="I1" s="288" t="s">
        <v>291</v>
      </c>
    </row>
    <row r="2" spans="1:14">
      <c r="A2" s="286"/>
      <c r="B2" s="289">
        <v>1.3854003911314401</v>
      </c>
      <c r="C2" s="290">
        <v>1.82716001300452</v>
      </c>
      <c r="D2" s="290">
        <v>2.0359600745346298</v>
      </c>
      <c r="E2" s="290">
        <v>2.30181137395541</v>
      </c>
      <c r="F2" s="290">
        <v>2.6761530298389098</v>
      </c>
      <c r="G2" s="290">
        <v>3.10731869305959</v>
      </c>
      <c r="H2" s="290">
        <v>3.64</v>
      </c>
      <c r="I2" s="290">
        <v>4</v>
      </c>
    </row>
    <row r="3" spans="1:14">
      <c r="A3" t="s">
        <v>292</v>
      </c>
      <c r="B3" s="291"/>
      <c r="C3" s="292"/>
      <c r="D3" s="292"/>
      <c r="E3" s="292"/>
      <c r="F3" s="292"/>
      <c r="G3" s="292"/>
      <c r="H3" s="292"/>
      <c r="I3" s="292"/>
      <c r="J3" s="293"/>
      <c r="K3" s="294"/>
      <c r="L3" s="293"/>
      <c r="M3" s="295"/>
      <c r="N3" s="295"/>
    </row>
    <row r="4" spans="1:14">
      <c r="B4" s="296"/>
      <c r="J4" s="293"/>
      <c r="M4" s="293"/>
      <c r="N4" s="295"/>
    </row>
    <row r="5" spans="1:14">
      <c r="B5" s="296"/>
      <c r="C5" s="296"/>
      <c r="D5" s="296"/>
      <c r="E5" s="296"/>
      <c r="F5" s="296"/>
      <c r="G5" s="296"/>
      <c r="H5" s="296"/>
      <c r="J5" s="37"/>
      <c r="M5" s="37"/>
      <c r="N5" s="295"/>
    </row>
    <row r="6" spans="1:14">
      <c r="A6" s="297" t="s">
        <v>293</v>
      </c>
      <c r="B6" s="298">
        <v>2010</v>
      </c>
      <c r="C6" s="298">
        <v>2011</v>
      </c>
      <c r="D6" s="298">
        <v>2012</v>
      </c>
      <c r="E6" s="298">
        <v>2013</v>
      </c>
      <c r="F6" s="298">
        <v>2014</v>
      </c>
      <c r="G6" s="298">
        <v>2015</v>
      </c>
      <c r="H6" s="298">
        <v>2016</v>
      </c>
      <c r="I6" s="298" t="s">
        <v>291</v>
      </c>
    </row>
    <row r="7" spans="1:14">
      <c r="B7" s="296"/>
      <c r="C7" s="296"/>
      <c r="D7" s="296"/>
      <c r="E7" s="296"/>
      <c r="F7" s="296"/>
      <c r="G7" s="296"/>
      <c r="H7" s="296"/>
    </row>
    <row r="8" spans="1:14">
      <c r="A8" s="8" t="s">
        <v>293</v>
      </c>
      <c r="B8" s="233"/>
      <c r="C8" s="299">
        <v>9.4533123301488636E-2</v>
      </c>
      <c r="D8" s="299">
        <v>0.15</v>
      </c>
      <c r="E8" s="299">
        <v>0.20918323091987309</v>
      </c>
      <c r="F8" s="299">
        <v>0.31428665714310855</v>
      </c>
      <c r="G8" s="299">
        <v>0.43616566321595124</v>
      </c>
      <c r="H8" s="299">
        <v>0.46660000000000001</v>
      </c>
      <c r="I8" s="299">
        <v>0.52370000000000005</v>
      </c>
    </row>
    <row r="9" spans="1:14">
      <c r="A9" t="s">
        <v>294</v>
      </c>
      <c r="E9" s="300"/>
      <c r="F9" s="300"/>
      <c r="G9" s="300"/>
    </row>
    <row r="11" spans="1:14">
      <c r="J11" s="293"/>
    </row>
    <row r="12" spans="1:14">
      <c r="K12" s="37"/>
      <c r="L12" s="37"/>
    </row>
    <row r="13" spans="1:14">
      <c r="K13" s="37"/>
      <c r="L13" s="37"/>
    </row>
    <row r="14" spans="1:14">
      <c r="K14" s="37"/>
    </row>
  </sheetData>
  <mergeCells count="1">
    <mergeCell ref="A1:A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115"/>
  <sheetViews>
    <sheetView topLeftCell="A103" workbookViewId="0">
      <selection activeCell="F114" sqref="F114"/>
    </sheetView>
  </sheetViews>
  <sheetFormatPr baseColWidth="10" defaultRowHeight="15"/>
  <cols>
    <col min="2" max="2" width="3.5703125" bestFit="1" customWidth="1"/>
    <col min="3" max="3" width="64.28515625" bestFit="1" customWidth="1"/>
    <col min="4" max="14" width="15.140625" bestFit="1" customWidth="1"/>
    <col min="15" max="15" width="15.28515625" bestFit="1" customWidth="1"/>
    <col min="16" max="16" width="15.140625" bestFit="1" customWidth="1"/>
  </cols>
  <sheetData>
    <row r="2" spans="2:15">
      <c r="B2" s="285" t="s">
        <v>213</v>
      </c>
      <c r="C2" s="285" t="s">
        <v>260</v>
      </c>
      <c r="D2" s="186" t="s">
        <v>261</v>
      </c>
      <c r="E2" s="186" t="s">
        <v>262</v>
      </c>
      <c r="F2" s="186" t="s">
        <v>263</v>
      </c>
      <c r="G2" s="186" t="s">
        <v>264</v>
      </c>
      <c r="H2" s="186" t="s">
        <v>265</v>
      </c>
      <c r="I2" s="186" t="s">
        <v>266</v>
      </c>
      <c r="J2" s="186" t="s">
        <v>267</v>
      </c>
      <c r="K2" s="186" t="s">
        <v>268</v>
      </c>
      <c r="L2" s="186" t="s">
        <v>269</v>
      </c>
      <c r="M2" s="186" t="s">
        <v>270</v>
      </c>
      <c r="N2" s="186" t="s">
        <v>271</v>
      </c>
      <c r="O2" s="186" t="s">
        <v>272</v>
      </c>
    </row>
    <row r="3" spans="2:15">
      <c r="B3" s="285"/>
      <c r="C3" s="285"/>
      <c r="D3" s="212" t="s">
        <v>273</v>
      </c>
      <c r="E3" s="212" t="s">
        <v>273</v>
      </c>
      <c r="F3" s="212" t="s">
        <v>273</v>
      </c>
      <c r="G3" s="212" t="s">
        <v>273</v>
      </c>
      <c r="H3" s="212" t="s">
        <v>273</v>
      </c>
      <c r="I3" s="212" t="s">
        <v>273</v>
      </c>
      <c r="J3" s="212" t="s">
        <v>273</v>
      </c>
      <c r="K3" s="212" t="s">
        <v>273</v>
      </c>
      <c r="L3" s="212" t="s">
        <v>273</v>
      </c>
      <c r="M3" s="212" t="s">
        <v>273</v>
      </c>
      <c r="N3" s="212" t="s">
        <v>273</v>
      </c>
      <c r="O3" s="212" t="s">
        <v>273</v>
      </c>
    </row>
    <row r="4" spans="2:15">
      <c r="B4" s="8">
        <v>1</v>
      </c>
      <c r="C4" s="70" t="s">
        <v>130</v>
      </c>
      <c r="D4" s="187">
        <v>0</v>
      </c>
      <c r="E4" s="187">
        <v>0</v>
      </c>
      <c r="F4" s="187">
        <v>0</v>
      </c>
      <c r="G4" s="187">
        <v>0</v>
      </c>
      <c r="H4" s="187">
        <v>0</v>
      </c>
      <c r="I4" s="187">
        <v>0</v>
      </c>
      <c r="J4" s="187">
        <v>0</v>
      </c>
      <c r="K4" s="187">
        <v>0</v>
      </c>
      <c r="L4" s="187">
        <v>0</v>
      </c>
      <c r="M4" s="187">
        <v>0</v>
      </c>
      <c r="N4" s="187">
        <v>0</v>
      </c>
      <c r="O4" s="185">
        <v>129890</v>
      </c>
    </row>
    <row r="5" spans="2:15">
      <c r="B5" s="8">
        <v>2</v>
      </c>
      <c r="C5" s="71" t="s">
        <v>131</v>
      </c>
      <c r="D5" s="187">
        <v>0</v>
      </c>
      <c r="E5" s="187">
        <v>0</v>
      </c>
      <c r="F5" s="187">
        <v>0</v>
      </c>
      <c r="G5" s="187">
        <v>0</v>
      </c>
      <c r="H5" s="187">
        <v>0</v>
      </c>
      <c r="I5" s="187">
        <v>0</v>
      </c>
      <c r="J5" s="187">
        <v>0</v>
      </c>
      <c r="K5" s="187">
        <v>0</v>
      </c>
      <c r="L5" s="187">
        <v>0</v>
      </c>
      <c r="M5" s="187">
        <v>0</v>
      </c>
      <c r="N5" s="187">
        <v>0</v>
      </c>
      <c r="O5" s="185">
        <v>93659</v>
      </c>
    </row>
    <row r="6" spans="2:15">
      <c r="B6" s="8">
        <v>3</v>
      </c>
      <c r="C6" s="188" t="s">
        <v>222</v>
      </c>
      <c r="D6" s="189">
        <v>0</v>
      </c>
      <c r="E6" s="189">
        <v>0</v>
      </c>
      <c r="F6" s="189">
        <v>0</v>
      </c>
      <c r="G6" s="189">
        <v>0</v>
      </c>
      <c r="H6" s="189">
        <v>0</v>
      </c>
      <c r="I6" s="189">
        <v>0</v>
      </c>
      <c r="J6" s="189">
        <v>0</v>
      </c>
      <c r="K6" s="189">
        <v>0</v>
      </c>
      <c r="L6" s="189">
        <v>0</v>
      </c>
      <c r="M6" s="189">
        <v>0</v>
      </c>
      <c r="N6" s="189">
        <v>0</v>
      </c>
      <c r="O6" s="185">
        <v>14435</v>
      </c>
    </row>
    <row r="7" spans="2:15">
      <c r="B7" s="8">
        <v>4</v>
      </c>
      <c r="C7" s="188" t="s">
        <v>120</v>
      </c>
      <c r="D7" s="52">
        <v>10647</v>
      </c>
      <c r="E7" s="52">
        <v>10647</v>
      </c>
      <c r="F7" s="52">
        <v>10647</v>
      </c>
      <c r="G7" s="52">
        <v>10647</v>
      </c>
      <c r="H7" s="10">
        <v>10647</v>
      </c>
      <c r="I7" s="52">
        <v>10647</v>
      </c>
      <c r="J7" s="52">
        <v>10640</v>
      </c>
      <c r="K7" s="52">
        <v>10640</v>
      </c>
      <c r="L7" s="52">
        <v>10640</v>
      </c>
      <c r="M7" s="52">
        <v>10640</v>
      </c>
      <c r="N7" s="52">
        <v>10640</v>
      </c>
      <c r="O7" s="52">
        <v>10280</v>
      </c>
    </row>
    <row r="8" spans="2:15">
      <c r="B8" s="8">
        <v>5</v>
      </c>
      <c r="C8" s="188" t="s">
        <v>132</v>
      </c>
      <c r="D8" s="72">
        <v>4496</v>
      </c>
      <c r="E8" s="72">
        <v>4496</v>
      </c>
      <c r="F8" s="72">
        <v>4496</v>
      </c>
      <c r="G8" s="72">
        <v>4496</v>
      </c>
      <c r="H8" s="72">
        <v>4496</v>
      </c>
      <c r="I8" s="72">
        <v>4496</v>
      </c>
      <c r="J8" s="72">
        <v>4496</v>
      </c>
      <c r="K8" s="72">
        <v>4496</v>
      </c>
      <c r="L8" s="72">
        <v>4496</v>
      </c>
      <c r="M8" s="72">
        <v>4496</v>
      </c>
      <c r="N8" s="72">
        <v>4496</v>
      </c>
      <c r="O8" s="190">
        <v>4496</v>
      </c>
    </row>
    <row r="9" spans="2:15">
      <c r="B9" s="8">
        <v>11</v>
      </c>
      <c r="C9" s="188" t="s">
        <v>136</v>
      </c>
      <c r="D9" s="191">
        <v>0</v>
      </c>
      <c r="E9" s="191">
        <v>0</v>
      </c>
      <c r="F9" s="191">
        <v>0</v>
      </c>
      <c r="G9" s="191">
        <v>0</v>
      </c>
      <c r="H9" s="191">
        <v>0</v>
      </c>
      <c r="I9" s="191">
        <v>0</v>
      </c>
      <c r="J9" s="191">
        <v>0</v>
      </c>
      <c r="K9" s="191">
        <v>0</v>
      </c>
      <c r="L9" s="191">
        <v>0</v>
      </c>
      <c r="M9" s="191">
        <v>0</v>
      </c>
      <c r="N9" s="191">
        <v>0</v>
      </c>
      <c r="O9" s="185">
        <v>4225</v>
      </c>
    </row>
    <row r="10" spans="2:15">
      <c r="B10" s="8">
        <v>7</v>
      </c>
      <c r="C10" s="188" t="s">
        <v>133</v>
      </c>
      <c r="D10" s="192">
        <v>2141</v>
      </c>
      <c r="E10" s="192">
        <v>2177</v>
      </c>
      <c r="F10" s="192">
        <v>2227</v>
      </c>
      <c r="G10" s="192">
        <v>2260</v>
      </c>
      <c r="H10" s="192">
        <v>2294</v>
      </c>
      <c r="I10" s="192">
        <v>2342</v>
      </c>
      <c r="J10" s="192">
        <v>2399</v>
      </c>
      <c r="K10" s="192">
        <v>2427</v>
      </c>
      <c r="L10" s="192">
        <v>2466</v>
      </c>
      <c r="M10" s="192">
        <v>2492</v>
      </c>
      <c r="N10" s="192">
        <v>2549</v>
      </c>
      <c r="O10" s="192">
        <v>2566</v>
      </c>
    </row>
    <row r="11" spans="2:15">
      <c r="B11" s="8">
        <v>6</v>
      </c>
      <c r="C11" s="188" t="s">
        <v>9</v>
      </c>
      <c r="D11" s="191">
        <v>0</v>
      </c>
      <c r="E11" s="191">
        <v>0</v>
      </c>
      <c r="F11" s="191">
        <v>0</v>
      </c>
      <c r="G11" s="191">
        <v>0</v>
      </c>
      <c r="H11" s="191">
        <v>0</v>
      </c>
      <c r="I11" s="191">
        <v>0</v>
      </c>
      <c r="J11" s="191">
        <v>0</v>
      </c>
      <c r="K11" s="191">
        <v>0</v>
      </c>
      <c r="L11" s="191">
        <v>0</v>
      </c>
      <c r="M11" s="191">
        <v>0</v>
      </c>
      <c r="N11" s="191">
        <v>0</v>
      </c>
      <c r="O11" s="185">
        <v>2200</v>
      </c>
    </row>
    <row r="12" spans="2:15">
      <c r="B12" s="8">
        <v>8</v>
      </c>
      <c r="C12" s="188" t="s">
        <v>134</v>
      </c>
      <c r="D12" s="187"/>
      <c r="E12" s="191">
        <v>0</v>
      </c>
      <c r="F12" s="187">
        <v>0</v>
      </c>
      <c r="G12" s="187">
        <v>0</v>
      </c>
      <c r="H12" s="187">
        <v>0</v>
      </c>
      <c r="I12" s="191">
        <v>0</v>
      </c>
      <c r="J12" s="191">
        <v>0</v>
      </c>
      <c r="K12" s="191">
        <v>0</v>
      </c>
      <c r="L12" s="191">
        <v>0</v>
      </c>
      <c r="M12" s="191">
        <v>0</v>
      </c>
      <c r="N12" s="191">
        <v>0</v>
      </c>
      <c r="O12" s="190">
        <v>2100</v>
      </c>
    </row>
    <row r="13" spans="2:15">
      <c r="B13" s="8">
        <v>12</v>
      </c>
      <c r="C13" s="188" t="s">
        <v>10</v>
      </c>
      <c r="D13" s="192">
        <v>1638</v>
      </c>
      <c r="E13" s="192">
        <v>1638</v>
      </c>
      <c r="F13" s="192">
        <v>1671</v>
      </c>
      <c r="G13" s="192">
        <v>1687</v>
      </c>
      <c r="H13" s="192">
        <v>1719</v>
      </c>
      <c r="I13" s="192">
        <v>1756</v>
      </c>
      <c r="J13" s="192">
        <v>1786</v>
      </c>
      <c r="K13" s="192">
        <v>1801</v>
      </c>
      <c r="L13" s="192">
        <v>1820</v>
      </c>
      <c r="M13" s="192">
        <v>1847</v>
      </c>
      <c r="N13" s="192">
        <v>1884</v>
      </c>
      <c r="O13" s="192">
        <v>1910</v>
      </c>
    </row>
    <row r="14" spans="2:15">
      <c r="B14" s="8">
        <v>9</v>
      </c>
      <c r="C14" s="188" t="s">
        <v>135</v>
      </c>
      <c r="D14" s="193">
        <v>1800</v>
      </c>
      <c r="E14" s="193">
        <v>1800</v>
      </c>
      <c r="F14" s="193">
        <v>1800</v>
      </c>
      <c r="G14" s="193">
        <v>1800</v>
      </c>
      <c r="H14" s="193">
        <v>1800</v>
      </c>
      <c r="I14" s="193">
        <v>1800</v>
      </c>
      <c r="J14" s="193">
        <v>1800</v>
      </c>
      <c r="K14" s="193">
        <v>1800</v>
      </c>
      <c r="L14" s="193">
        <v>1800</v>
      </c>
      <c r="M14" s="193">
        <v>1800</v>
      </c>
      <c r="N14" s="193">
        <v>1800</v>
      </c>
      <c r="O14" s="193">
        <v>1800</v>
      </c>
    </row>
    <row r="15" spans="2:15">
      <c r="B15" s="8">
        <v>88</v>
      </c>
      <c r="C15" s="197" t="s">
        <v>200</v>
      </c>
      <c r="D15" s="72">
        <v>1784</v>
      </c>
      <c r="E15" s="72">
        <v>1784</v>
      </c>
      <c r="F15" s="72">
        <v>1784</v>
      </c>
      <c r="G15" s="72">
        <v>1784</v>
      </c>
      <c r="H15" s="72">
        <v>1784</v>
      </c>
      <c r="I15" s="72">
        <v>1784</v>
      </c>
      <c r="J15" s="72">
        <v>1784</v>
      </c>
      <c r="K15" s="72">
        <v>1784</v>
      </c>
      <c r="L15" s="72">
        <v>1784</v>
      </c>
      <c r="M15" s="72">
        <v>1784</v>
      </c>
      <c r="N15" s="72">
        <v>1784</v>
      </c>
      <c r="O15" s="141">
        <v>1784</v>
      </c>
    </row>
    <row r="16" spans="2:15">
      <c r="B16" s="8">
        <v>16</v>
      </c>
      <c r="C16" s="188" t="s">
        <v>139</v>
      </c>
      <c r="D16" s="192">
        <v>1279</v>
      </c>
      <c r="E16" s="192">
        <v>1298</v>
      </c>
      <c r="F16" s="192">
        <v>1325</v>
      </c>
      <c r="G16" s="192">
        <v>1348</v>
      </c>
      <c r="H16" s="192">
        <v>1373</v>
      </c>
      <c r="I16" s="192">
        <v>1404</v>
      </c>
      <c r="J16" s="192">
        <v>1437</v>
      </c>
      <c r="K16" s="192">
        <v>1464</v>
      </c>
      <c r="L16" s="192">
        <v>1479</v>
      </c>
      <c r="M16" s="192">
        <v>1513</v>
      </c>
      <c r="N16" s="192">
        <v>1548</v>
      </c>
      <c r="O16" s="192">
        <v>1591</v>
      </c>
    </row>
    <row r="17" spans="2:15">
      <c r="B17" s="8">
        <v>10</v>
      </c>
      <c r="C17" s="188" t="s">
        <v>8</v>
      </c>
      <c r="D17" s="194">
        <v>0</v>
      </c>
      <c r="E17" s="194">
        <v>0</v>
      </c>
      <c r="F17" s="194">
        <v>0</v>
      </c>
      <c r="G17" s="194">
        <v>0</v>
      </c>
      <c r="H17" s="194">
        <v>0</v>
      </c>
      <c r="I17" s="194">
        <v>0</v>
      </c>
      <c r="J17" s="194">
        <v>0</v>
      </c>
      <c r="K17" s="194">
        <v>0</v>
      </c>
      <c r="L17" s="194">
        <v>0</v>
      </c>
      <c r="M17" s="194">
        <v>0</v>
      </c>
      <c r="N17" s="194">
        <v>0</v>
      </c>
      <c r="O17" s="195">
        <v>1400</v>
      </c>
    </row>
    <row r="18" spans="2:15">
      <c r="B18" s="8">
        <v>14</v>
      </c>
      <c r="C18" s="188" t="s">
        <v>6</v>
      </c>
      <c r="D18" s="195">
        <v>1291</v>
      </c>
      <c r="E18" s="195">
        <v>1291</v>
      </c>
      <c r="F18" s="195">
        <v>1291</v>
      </c>
      <c r="G18" s="195">
        <v>1291</v>
      </c>
      <c r="H18" s="195">
        <v>1291</v>
      </c>
      <c r="I18" s="195">
        <v>1291</v>
      </c>
      <c r="J18" s="194">
        <v>0</v>
      </c>
      <c r="K18" s="194">
        <v>0</v>
      </c>
      <c r="L18" s="194">
        <v>0</v>
      </c>
      <c r="M18" s="194">
        <v>0</v>
      </c>
      <c r="N18" s="194">
        <v>0</v>
      </c>
      <c r="O18" s="196">
        <v>1302</v>
      </c>
    </row>
    <row r="19" spans="2:15">
      <c r="B19" s="8">
        <v>13</v>
      </c>
      <c r="C19" s="71" t="s">
        <v>137</v>
      </c>
      <c r="D19" s="11">
        <v>150</v>
      </c>
      <c r="E19" s="11">
        <v>1205</v>
      </c>
      <c r="F19" s="11">
        <v>1240</v>
      </c>
      <c r="G19" s="11">
        <v>1240</v>
      </c>
      <c r="H19" s="11">
        <v>1141</v>
      </c>
      <c r="I19" s="11">
        <v>1251</v>
      </c>
      <c r="J19" s="11">
        <v>1022</v>
      </c>
      <c r="K19" s="11">
        <v>1128</v>
      </c>
      <c r="L19" s="11">
        <v>1152</v>
      </c>
      <c r="M19" s="11">
        <v>1145</v>
      </c>
      <c r="N19" s="11">
        <v>1345</v>
      </c>
      <c r="O19" s="193">
        <v>1283</v>
      </c>
    </row>
    <row r="20" spans="2:15">
      <c r="B20" s="8">
        <v>15</v>
      </c>
      <c r="C20" s="188" t="s">
        <v>138</v>
      </c>
      <c r="D20" s="11">
        <v>1098</v>
      </c>
      <c r="E20" s="11">
        <v>1056</v>
      </c>
      <c r="F20" s="11">
        <v>1217</v>
      </c>
      <c r="G20" s="11">
        <v>1086</v>
      </c>
      <c r="H20" s="11">
        <v>1184</v>
      </c>
      <c r="I20" s="11">
        <v>1160</v>
      </c>
      <c r="J20" s="11">
        <v>1247</v>
      </c>
      <c r="K20" s="11">
        <v>1265</v>
      </c>
      <c r="L20" s="11">
        <v>1227</v>
      </c>
      <c r="M20" s="11">
        <v>1314</v>
      </c>
      <c r="N20" s="11">
        <v>1247</v>
      </c>
      <c r="O20" s="11">
        <v>1200</v>
      </c>
    </row>
    <row r="21" spans="2:15">
      <c r="B21" s="8">
        <v>20</v>
      </c>
      <c r="C21" s="188" t="s">
        <v>143</v>
      </c>
      <c r="D21" s="187">
        <v>0</v>
      </c>
      <c r="E21" s="187">
        <v>0</v>
      </c>
      <c r="F21" s="187">
        <v>0</v>
      </c>
      <c r="G21" s="187">
        <v>0</v>
      </c>
      <c r="H21" s="187">
        <v>0</v>
      </c>
      <c r="I21" s="187">
        <v>0</v>
      </c>
      <c r="J21" s="187">
        <v>0</v>
      </c>
      <c r="K21" s="187">
        <v>0</v>
      </c>
      <c r="L21" s="187">
        <v>0</v>
      </c>
      <c r="M21" s="187">
        <v>0</v>
      </c>
      <c r="N21" s="187">
        <v>0</v>
      </c>
      <c r="O21" s="200">
        <v>1200</v>
      </c>
    </row>
    <row r="22" spans="2:15">
      <c r="B22" s="8">
        <v>19</v>
      </c>
      <c r="C22" s="188" t="s">
        <v>142</v>
      </c>
      <c r="D22" s="11">
        <v>956</v>
      </c>
      <c r="E22" s="11">
        <v>996</v>
      </c>
      <c r="F22" s="11">
        <v>1112</v>
      </c>
      <c r="G22" s="11">
        <v>983</v>
      </c>
      <c r="H22" s="11">
        <v>1127</v>
      </c>
      <c r="I22" s="11">
        <v>1061</v>
      </c>
      <c r="J22" s="11">
        <v>1170</v>
      </c>
      <c r="K22" s="11">
        <v>1094</v>
      </c>
      <c r="L22" s="11">
        <v>1085</v>
      </c>
      <c r="M22" s="11">
        <v>1101</v>
      </c>
      <c r="N22" s="11">
        <v>1157</v>
      </c>
      <c r="O22" s="11">
        <v>1195</v>
      </c>
    </row>
    <row r="23" spans="2:15">
      <c r="B23" s="8">
        <v>85</v>
      </c>
      <c r="C23" s="188" t="s">
        <v>197</v>
      </c>
      <c r="D23" s="11">
        <v>1080</v>
      </c>
      <c r="E23" s="11">
        <v>1085</v>
      </c>
      <c r="F23" s="11">
        <v>1074</v>
      </c>
      <c r="G23" s="11">
        <v>1076</v>
      </c>
      <c r="H23" s="11">
        <v>1103</v>
      </c>
      <c r="I23" s="11">
        <v>1113</v>
      </c>
      <c r="J23" s="11">
        <v>1141</v>
      </c>
      <c r="K23" s="11">
        <v>1145</v>
      </c>
      <c r="L23" s="11">
        <v>1177</v>
      </c>
      <c r="M23" s="11">
        <v>1172</v>
      </c>
      <c r="N23" s="11">
        <v>1194</v>
      </c>
      <c r="O23" s="11">
        <v>1193</v>
      </c>
    </row>
    <row r="24" spans="2:15">
      <c r="B24" s="8">
        <v>21</v>
      </c>
      <c r="C24" s="188" t="s">
        <v>144</v>
      </c>
      <c r="D24" s="200">
        <v>981</v>
      </c>
      <c r="E24" s="200">
        <v>981</v>
      </c>
      <c r="F24" s="200">
        <v>981</v>
      </c>
      <c r="G24" s="200">
        <v>981</v>
      </c>
      <c r="H24" s="200">
        <v>989</v>
      </c>
      <c r="I24" s="200">
        <v>1033</v>
      </c>
      <c r="J24" s="10">
        <v>1059</v>
      </c>
      <c r="K24" s="10">
        <v>1055</v>
      </c>
      <c r="L24" s="10">
        <v>1178</v>
      </c>
      <c r="M24" s="10">
        <v>1178</v>
      </c>
      <c r="N24" s="10">
        <v>1165</v>
      </c>
      <c r="O24" s="193">
        <v>1178</v>
      </c>
    </row>
    <row r="25" spans="2:15">
      <c r="B25" s="8">
        <v>27</v>
      </c>
      <c r="C25" s="188" t="s">
        <v>148</v>
      </c>
      <c r="D25" s="8">
        <v>878</v>
      </c>
      <c r="E25" s="8">
        <v>761</v>
      </c>
      <c r="F25" s="8">
        <v>845</v>
      </c>
      <c r="G25" s="8">
        <v>814</v>
      </c>
      <c r="H25" s="8">
        <v>830</v>
      </c>
      <c r="I25" s="8">
        <v>880</v>
      </c>
      <c r="J25" s="8">
        <v>836</v>
      </c>
      <c r="K25" s="8">
        <v>779</v>
      </c>
      <c r="L25" s="8">
        <v>892</v>
      </c>
      <c r="M25" s="8">
        <v>805</v>
      </c>
      <c r="N25" s="8">
        <v>827</v>
      </c>
      <c r="O25" s="8">
        <v>979</v>
      </c>
    </row>
    <row r="26" spans="2:15">
      <c r="B26" s="8">
        <v>28</v>
      </c>
      <c r="C26" s="188" t="s">
        <v>149</v>
      </c>
      <c r="D26" s="5">
        <v>749</v>
      </c>
      <c r="E26" s="5">
        <v>870</v>
      </c>
      <c r="F26" s="5">
        <v>998</v>
      </c>
      <c r="G26" s="5">
        <v>809</v>
      </c>
      <c r="H26" s="5">
        <v>827</v>
      </c>
      <c r="I26" s="5">
        <v>996</v>
      </c>
      <c r="J26" s="5">
        <v>944</v>
      </c>
      <c r="K26" s="5">
        <v>933</v>
      </c>
      <c r="L26" s="5">
        <v>911</v>
      </c>
      <c r="M26" s="5">
        <v>979</v>
      </c>
      <c r="N26" s="5">
        <v>849</v>
      </c>
      <c r="O26" s="5">
        <v>978</v>
      </c>
    </row>
    <row r="27" spans="2:15">
      <c r="B27" s="8">
        <v>24</v>
      </c>
      <c r="C27" s="203" t="s">
        <v>146</v>
      </c>
      <c r="D27" s="52">
        <v>950</v>
      </c>
      <c r="E27" s="52">
        <v>950</v>
      </c>
      <c r="F27" s="52">
        <v>950</v>
      </c>
      <c r="G27" s="52">
        <v>950</v>
      </c>
      <c r="H27" s="52">
        <v>950</v>
      </c>
      <c r="I27" s="52">
        <v>950</v>
      </c>
      <c r="J27" s="52">
        <v>950</v>
      </c>
      <c r="K27" s="52">
        <v>950</v>
      </c>
      <c r="L27" s="52">
        <v>950</v>
      </c>
      <c r="M27" s="52">
        <v>950</v>
      </c>
      <c r="N27" s="52">
        <v>950</v>
      </c>
      <c r="O27" s="52">
        <v>950</v>
      </c>
    </row>
    <row r="28" spans="2:15">
      <c r="B28" s="8">
        <v>35</v>
      </c>
      <c r="C28" s="188" t="s">
        <v>155</v>
      </c>
      <c r="D28" s="10">
        <v>900</v>
      </c>
      <c r="E28" s="10">
        <v>900</v>
      </c>
      <c r="F28" s="10">
        <v>900</v>
      </c>
      <c r="G28" s="10">
        <v>900</v>
      </c>
      <c r="H28" s="10">
        <v>900</v>
      </c>
      <c r="I28" s="10">
        <v>900</v>
      </c>
      <c r="J28" s="10">
        <v>900</v>
      </c>
      <c r="K28" s="10">
        <v>900</v>
      </c>
      <c r="L28" s="10">
        <v>900</v>
      </c>
      <c r="M28" s="10">
        <v>900</v>
      </c>
      <c r="N28" s="10">
        <v>900</v>
      </c>
      <c r="O28" s="193">
        <v>900</v>
      </c>
    </row>
    <row r="29" spans="2:15">
      <c r="B29" s="8">
        <v>23</v>
      </c>
      <c r="C29" s="188" t="s">
        <v>214</v>
      </c>
      <c r="D29" s="72">
        <v>845</v>
      </c>
      <c r="E29" s="72">
        <v>845</v>
      </c>
      <c r="F29" s="72">
        <v>845</v>
      </c>
      <c r="G29" s="72">
        <v>845</v>
      </c>
      <c r="H29" s="72">
        <v>845</v>
      </c>
      <c r="I29" s="72">
        <v>845</v>
      </c>
      <c r="J29" s="72">
        <v>845</v>
      </c>
      <c r="K29" s="72">
        <v>845</v>
      </c>
      <c r="L29" s="72">
        <v>845</v>
      </c>
      <c r="M29" s="72">
        <v>845</v>
      </c>
      <c r="N29" s="72">
        <v>845</v>
      </c>
      <c r="O29" s="193">
        <v>845</v>
      </c>
    </row>
    <row r="30" spans="2:15">
      <c r="B30" s="8">
        <v>32</v>
      </c>
      <c r="C30" s="188" t="s">
        <v>153</v>
      </c>
      <c r="D30" s="191">
        <v>0</v>
      </c>
      <c r="E30" s="191">
        <v>0</v>
      </c>
      <c r="F30" s="191">
        <v>0</v>
      </c>
      <c r="G30" s="191">
        <v>0</v>
      </c>
      <c r="H30" s="191">
        <v>0</v>
      </c>
      <c r="I30" s="191">
        <v>0</v>
      </c>
      <c r="J30" s="191">
        <v>0</v>
      </c>
      <c r="K30" s="191">
        <v>0</v>
      </c>
      <c r="L30" s="191">
        <v>0</v>
      </c>
      <c r="M30" s="191">
        <v>0</v>
      </c>
      <c r="N30" s="191">
        <v>0</v>
      </c>
      <c r="O30" s="185">
        <v>840</v>
      </c>
    </row>
    <row r="31" spans="2:15">
      <c r="B31" s="8">
        <v>17</v>
      </c>
      <c r="C31" s="197" t="s">
        <v>140</v>
      </c>
      <c r="D31" s="198">
        <v>0</v>
      </c>
      <c r="E31" s="198">
        <v>0</v>
      </c>
      <c r="F31" s="198">
        <v>0</v>
      </c>
      <c r="G31" s="198">
        <v>0</v>
      </c>
      <c r="H31" s="198">
        <v>0</v>
      </c>
      <c r="I31" s="198">
        <v>0</v>
      </c>
      <c r="J31" s="198">
        <v>0</v>
      </c>
      <c r="K31" s="198">
        <v>0</v>
      </c>
      <c r="L31" s="198">
        <v>0</v>
      </c>
      <c r="M31" s="198">
        <v>0</v>
      </c>
      <c r="N31" s="198">
        <v>0</v>
      </c>
      <c r="O31" s="199">
        <v>792</v>
      </c>
    </row>
    <row r="32" spans="2:15">
      <c r="B32" s="8">
        <v>26</v>
      </c>
      <c r="C32" s="188" t="s">
        <v>7</v>
      </c>
      <c r="D32" s="202">
        <v>639</v>
      </c>
      <c r="E32" s="202">
        <v>761</v>
      </c>
      <c r="F32" s="202">
        <v>746</v>
      </c>
      <c r="G32" s="202">
        <v>721</v>
      </c>
      <c r="H32" s="202">
        <v>742</v>
      </c>
      <c r="I32" s="202">
        <v>711</v>
      </c>
      <c r="J32" s="202">
        <v>742</v>
      </c>
      <c r="K32" s="202">
        <v>769</v>
      </c>
      <c r="L32" s="202">
        <v>746</v>
      </c>
      <c r="M32" s="202">
        <v>778</v>
      </c>
      <c r="N32" s="202">
        <v>764</v>
      </c>
      <c r="O32" s="199">
        <v>750</v>
      </c>
    </row>
    <row r="33" spans="2:15">
      <c r="B33" s="8">
        <v>31</v>
      </c>
      <c r="C33" s="188" t="s">
        <v>152</v>
      </c>
      <c r="D33" s="8">
        <v>628</v>
      </c>
      <c r="E33" s="8">
        <v>631</v>
      </c>
      <c r="F33" s="8">
        <v>635</v>
      </c>
      <c r="G33" s="8">
        <v>638</v>
      </c>
      <c r="H33" s="8">
        <v>635</v>
      </c>
      <c r="I33" s="8">
        <v>640</v>
      </c>
      <c r="J33" s="8">
        <v>644</v>
      </c>
      <c r="K33" s="8">
        <v>651</v>
      </c>
      <c r="L33" s="8">
        <v>658</v>
      </c>
      <c r="M33" s="8">
        <v>662</v>
      </c>
      <c r="N33" s="8">
        <v>669</v>
      </c>
      <c r="O33" s="185">
        <v>732</v>
      </c>
    </row>
    <row r="34" spans="2:15">
      <c r="B34" s="15">
        <v>37</v>
      </c>
      <c r="C34" s="188" t="s">
        <v>157</v>
      </c>
      <c r="D34" s="140">
        <v>728</v>
      </c>
      <c r="E34" s="140">
        <v>728</v>
      </c>
      <c r="F34" s="140">
        <v>728</v>
      </c>
      <c r="G34" s="140">
        <v>728</v>
      </c>
      <c r="H34" s="140">
        <v>728</v>
      </c>
      <c r="I34" s="140">
        <v>728</v>
      </c>
      <c r="J34" s="140">
        <v>728</v>
      </c>
      <c r="K34" s="140">
        <v>728</v>
      </c>
      <c r="L34" s="140">
        <v>728</v>
      </c>
      <c r="M34" s="140">
        <v>728</v>
      </c>
      <c r="N34" s="140">
        <v>728</v>
      </c>
      <c r="O34" s="140">
        <v>728</v>
      </c>
    </row>
    <row r="35" spans="2:15">
      <c r="B35" s="8">
        <v>29</v>
      </c>
      <c r="C35" s="188" t="s">
        <v>150</v>
      </c>
      <c r="D35" s="52">
        <v>852</v>
      </c>
      <c r="E35" s="52">
        <v>852</v>
      </c>
      <c r="F35" s="52">
        <v>852</v>
      </c>
      <c r="G35" s="52">
        <v>852</v>
      </c>
      <c r="H35" s="52">
        <v>852</v>
      </c>
      <c r="I35" s="52">
        <v>852</v>
      </c>
      <c r="J35" s="201">
        <v>0</v>
      </c>
      <c r="K35" s="201">
        <v>0</v>
      </c>
      <c r="L35" s="8">
        <v>712</v>
      </c>
      <c r="M35" s="8">
        <v>670</v>
      </c>
      <c r="N35" s="8">
        <v>682</v>
      </c>
      <c r="O35" s="193">
        <v>708</v>
      </c>
    </row>
    <row r="36" spans="2:15">
      <c r="B36" s="8">
        <v>25</v>
      </c>
      <c r="C36" s="188" t="s">
        <v>147</v>
      </c>
      <c r="D36" s="187">
        <v>0</v>
      </c>
      <c r="E36" s="187">
        <v>0</v>
      </c>
      <c r="F36" s="187">
        <v>0</v>
      </c>
      <c r="G36" s="187">
        <v>0</v>
      </c>
      <c r="H36" s="187">
        <v>0</v>
      </c>
      <c r="I36" s="187">
        <v>0</v>
      </c>
      <c r="J36" s="191">
        <v>0</v>
      </c>
      <c r="K36" s="191">
        <v>0</v>
      </c>
      <c r="L36" s="191">
        <v>0</v>
      </c>
      <c r="M36" s="191">
        <v>0</v>
      </c>
      <c r="N36" s="191">
        <v>0</v>
      </c>
      <c r="O36" s="190">
        <v>700</v>
      </c>
    </row>
    <row r="37" spans="2:15">
      <c r="B37" s="8">
        <v>18</v>
      </c>
      <c r="C37" s="197" t="s">
        <v>141</v>
      </c>
      <c r="D37" s="198">
        <v>0</v>
      </c>
      <c r="E37" s="198">
        <v>0</v>
      </c>
      <c r="F37" s="198">
        <v>0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9">
        <v>685</v>
      </c>
    </row>
    <row r="38" spans="2:15">
      <c r="B38" s="8">
        <v>38</v>
      </c>
      <c r="C38" s="188" t="s">
        <v>158</v>
      </c>
      <c r="D38" s="8">
        <v>430</v>
      </c>
      <c r="E38" s="8">
        <v>426</v>
      </c>
      <c r="F38" s="8">
        <v>420</v>
      </c>
      <c r="G38" s="8">
        <v>435</v>
      </c>
      <c r="H38" s="8">
        <v>428</v>
      </c>
      <c r="I38" s="8">
        <v>462</v>
      </c>
      <c r="J38" s="8">
        <v>407</v>
      </c>
      <c r="K38" s="8">
        <v>463</v>
      </c>
      <c r="L38" s="8">
        <v>442</v>
      </c>
      <c r="M38" s="8">
        <v>434</v>
      </c>
      <c r="N38" s="8">
        <v>397</v>
      </c>
      <c r="O38" s="8">
        <v>598</v>
      </c>
    </row>
    <row r="39" spans="2:15">
      <c r="B39" s="8">
        <v>22</v>
      </c>
      <c r="C39" s="188" t="s">
        <v>145</v>
      </c>
      <c r="D39" s="202">
        <v>497</v>
      </c>
      <c r="E39" s="202">
        <v>490</v>
      </c>
      <c r="F39" s="202">
        <v>567</v>
      </c>
      <c r="G39" s="202">
        <v>450</v>
      </c>
      <c r="H39" s="202">
        <v>586</v>
      </c>
      <c r="I39" s="202">
        <v>559</v>
      </c>
      <c r="J39" s="202">
        <v>572</v>
      </c>
      <c r="K39" s="202">
        <v>585</v>
      </c>
      <c r="L39" s="202">
        <v>567</v>
      </c>
      <c r="M39" s="202">
        <v>628</v>
      </c>
      <c r="N39" s="202">
        <v>574</v>
      </c>
      <c r="O39" s="202">
        <v>573</v>
      </c>
    </row>
    <row r="40" spans="2:15">
      <c r="B40" s="8">
        <v>34</v>
      </c>
      <c r="C40" s="188" t="s">
        <v>154</v>
      </c>
      <c r="D40" s="191">
        <v>0</v>
      </c>
      <c r="E40" s="191">
        <v>0</v>
      </c>
      <c r="F40" s="191">
        <v>0</v>
      </c>
      <c r="G40" s="191">
        <v>0</v>
      </c>
      <c r="H40" s="191">
        <v>0</v>
      </c>
      <c r="I40" s="191">
        <v>0</v>
      </c>
      <c r="J40" s="191">
        <v>0</v>
      </c>
      <c r="K40" s="191">
        <v>0</v>
      </c>
      <c r="L40" s="191">
        <v>0</v>
      </c>
      <c r="M40" s="191">
        <v>0</v>
      </c>
      <c r="N40" s="191">
        <v>0</v>
      </c>
      <c r="O40" s="185">
        <v>500</v>
      </c>
    </row>
    <row r="41" spans="2:15">
      <c r="B41" s="8">
        <v>41</v>
      </c>
      <c r="C41" s="188" t="s">
        <v>160</v>
      </c>
      <c r="D41" s="205">
        <v>0</v>
      </c>
      <c r="E41" s="205">
        <v>0</v>
      </c>
      <c r="F41" s="205">
        <v>0</v>
      </c>
      <c r="G41" s="205">
        <v>0</v>
      </c>
      <c r="H41" s="205">
        <v>0</v>
      </c>
      <c r="I41" s="205">
        <v>0</v>
      </c>
      <c r="J41" s="205">
        <v>0</v>
      </c>
      <c r="K41" s="205">
        <v>0</v>
      </c>
      <c r="L41" s="205">
        <v>0</v>
      </c>
      <c r="M41" s="205">
        <v>0</v>
      </c>
      <c r="N41" s="205">
        <v>0</v>
      </c>
      <c r="O41" s="199">
        <v>500</v>
      </c>
    </row>
    <row r="42" spans="2:15">
      <c r="B42" s="8">
        <v>58</v>
      </c>
      <c r="C42" s="188" t="s">
        <v>174</v>
      </c>
      <c r="D42" s="72">
        <v>493</v>
      </c>
      <c r="E42" s="72">
        <v>493</v>
      </c>
      <c r="F42" s="72">
        <v>493</v>
      </c>
      <c r="G42" s="72">
        <v>493</v>
      </c>
      <c r="H42" s="72">
        <v>493</v>
      </c>
      <c r="I42" s="72">
        <v>493</v>
      </c>
      <c r="J42" s="72">
        <v>493</v>
      </c>
      <c r="K42" s="72">
        <v>493</v>
      </c>
      <c r="L42" s="72">
        <v>493</v>
      </c>
      <c r="M42" s="72">
        <v>493</v>
      </c>
      <c r="N42" s="72">
        <v>493</v>
      </c>
      <c r="O42" s="141">
        <v>493</v>
      </c>
    </row>
    <row r="43" spans="2:15">
      <c r="B43" s="8">
        <v>49</v>
      </c>
      <c r="C43" s="188" t="s">
        <v>168</v>
      </c>
      <c r="D43" s="72">
        <v>380</v>
      </c>
      <c r="E43" s="72">
        <v>400</v>
      </c>
      <c r="F43" s="72">
        <v>400</v>
      </c>
      <c r="G43" s="72">
        <v>400</v>
      </c>
      <c r="H43" s="72">
        <v>430</v>
      </c>
      <c r="I43" s="72">
        <v>450</v>
      </c>
      <c r="J43" s="8">
        <v>460</v>
      </c>
      <c r="K43" s="8">
        <v>460</v>
      </c>
      <c r="L43" s="8">
        <v>480</v>
      </c>
      <c r="M43" s="8">
        <v>460</v>
      </c>
      <c r="N43" s="8">
        <v>470</v>
      </c>
      <c r="O43" s="185">
        <v>480</v>
      </c>
    </row>
    <row r="44" spans="2:15">
      <c r="B44" s="8">
        <v>79</v>
      </c>
      <c r="C44" s="188" t="s">
        <v>274</v>
      </c>
      <c r="D44" s="11">
        <v>428</v>
      </c>
      <c r="E44" s="11">
        <v>421</v>
      </c>
      <c r="F44" s="11">
        <v>426</v>
      </c>
      <c r="G44" s="11">
        <v>433</v>
      </c>
      <c r="H44" s="11">
        <v>438</v>
      </c>
      <c r="I44" s="11">
        <v>447</v>
      </c>
      <c r="J44" s="11">
        <v>425</v>
      </c>
      <c r="K44" s="11">
        <v>432</v>
      </c>
      <c r="L44" s="11">
        <v>434</v>
      </c>
      <c r="M44" s="11">
        <v>426</v>
      </c>
      <c r="N44" s="11">
        <v>432</v>
      </c>
      <c r="O44" s="11">
        <v>452</v>
      </c>
    </row>
    <row r="45" spans="2:15">
      <c r="B45" s="8">
        <v>80</v>
      </c>
      <c r="C45" s="188" t="s">
        <v>193</v>
      </c>
      <c r="D45" s="191">
        <v>0</v>
      </c>
      <c r="E45" s="191">
        <v>0</v>
      </c>
      <c r="F45" s="191">
        <v>0</v>
      </c>
      <c r="G45" s="191">
        <v>0</v>
      </c>
      <c r="H45" s="191">
        <v>0</v>
      </c>
      <c r="I45" s="191">
        <v>0</v>
      </c>
      <c r="J45" s="191">
        <v>0</v>
      </c>
      <c r="K45" s="191">
        <v>0</v>
      </c>
      <c r="L45" s="191">
        <v>0</v>
      </c>
      <c r="M45" s="191">
        <v>0</v>
      </c>
      <c r="N45" s="191">
        <v>0</v>
      </c>
      <c r="O45" s="185">
        <v>450</v>
      </c>
    </row>
    <row r="46" spans="2:15">
      <c r="B46" s="8">
        <v>40</v>
      </c>
      <c r="C46" s="188" t="s">
        <v>2</v>
      </c>
      <c r="D46" s="200">
        <v>405</v>
      </c>
      <c r="E46" s="72">
        <v>405</v>
      </c>
      <c r="F46" s="200">
        <v>405</v>
      </c>
      <c r="G46" s="200">
        <v>405</v>
      </c>
      <c r="H46" s="200">
        <v>405</v>
      </c>
      <c r="I46" s="72">
        <v>405</v>
      </c>
      <c r="J46" s="10">
        <v>405</v>
      </c>
      <c r="K46" s="10">
        <v>405</v>
      </c>
      <c r="L46" s="10">
        <v>405</v>
      </c>
      <c r="M46" s="10">
        <v>405</v>
      </c>
      <c r="N46" s="10">
        <v>405</v>
      </c>
      <c r="O46" s="185">
        <v>405</v>
      </c>
    </row>
    <row r="47" spans="2:15">
      <c r="B47" s="8">
        <v>87</v>
      </c>
      <c r="C47" s="197" t="s">
        <v>199</v>
      </c>
      <c r="D47" s="11">
        <v>400</v>
      </c>
      <c r="E47" s="11">
        <v>400</v>
      </c>
      <c r="F47" s="11">
        <v>400</v>
      </c>
      <c r="G47" s="11">
        <v>400</v>
      </c>
      <c r="H47" s="11">
        <v>400</v>
      </c>
      <c r="I47" s="11">
        <v>400</v>
      </c>
      <c r="J47" s="11">
        <v>400</v>
      </c>
      <c r="K47" s="11">
        <v>400</v>
      </c>
      <c r="L47" s="11">
        <v>400</v>
      </c>
      <c r="M47" s="11">
        <v>400</v>
      </c>
      <c r="N47" s="11">
        <v>400</v>
      </c>
      <c r="O47" s="11">
        <v>400</v>
      </c>
    </row>
    <row r="48" spans="2:15">
      <c r="B48" s="8">
        <v>52</v>
      </c>
      <c r="C48" s="71" t="s">
        <v>11</v>
      </c>
      <c r="D48" s="11">
        <v>313</v>
      </c>
      <c r="E48" s="11">
        <v>307</v>
      </c>
      <c r="F48" s="11">
        <v>307</v>
      </c>
      <c r="G48" s="11">
        <v>308</v>
      </c>
      <c r="H48" s="11">
        <v>305</v>
      </c>
      <c r="I48" s="11">
        <v>326</v>
      </c>
      <c r="J48" s="11">
        <v>324</v>
      </c>
      <c r="K48" s="11">
        <v>332</v>
      </c>
      <c r="L48" s="11">
        <v>334</v>
      </c>
      <c r="M48" s="11">
        <v>330</v>
      </c>
      <c r="N48" s="11">
        <v>334</v>
      </c>
      <c r="O48" s="135">
        <v>350</v>
      </c>
    </row>
    <row r="49" spans="2:15">
      <c r="B49" s="8">
        <v>89</v>
      </c>
      <c r="C49" s="211" t="s">
        <v>201</v>
      </c>
      <c r="D49" s="72">
        <v>345</v>
      </c>
      <c r="E49" s="72">
        <v>345</v>
      </c>
      <c r="F49" s="72">
        <v>345</v>
      </c>
      <c r="G49" s="72">
        <v>345</v>
      </c>
      <c r="H49" s="72">
        <v>345</v>
      </c>
      <c r="I49" s="72">
        <v>345</v>
      </c>
      <c r="J49" s="72">
        <v>345</v>
      </c>
      <c r="K49" s="72">
        <v>345</v>
      </c>
      <c r="L49" s="72">
        <v>345</v>
      </c>
      <c r="M49" s="72">
        <v>345</v>
      </c>
      <c r="N49" s="72">
        <v>345</v>
      </c>
      <c r="O49" s="141">
        <v>345</v>
      </c>
    </row>
    <row r="50" spans="2:15">
      <c r="B50" s="8">
        <v>53</v>
      </c>
      <c r="C50" s="188" t="s">
        <v>171</v>
      </c>
      <c r="D50" s="72">
        <v>320</v>
      </c>
      <c r="E50" s="72">
        <v>320</v>
      </c>
      <c r="F50" s="72">
        <v>320</v>
      </c>
      <c r="G50" s="72">
        <v>320</v>
      </c>
      <c r="H50" s="72">
        <v>320</v>
      </c>
      <c r="I50" s="72">
        <v>320</v>
      </c>
      <c r="J50" s="72">
        <v>320</v>
      </c>
      <c r="K50" s="72">
        <v>320</v>
      </c>
      <c r="L50" s="72">
        <v>320</v>
      </c>
      <c r="M50" s="72">
        <v>320</v>
      </c>
      <c r="N50" s="72">
        <v>320</v>
      </c>
      <c r="O50" s="185">
        <v>320</v>
      </c>
    </row>
    <row r="51" spans="2:15">
      <c r="B51" s="8">
        <v>43</v>
      </c>
      <c r="C51" s="188" t="s">
        <v>162</v>
      </c>
      <c r="D51" s="10">
        <v>310</v>
      </c>
      <c r="E51" s="10">
        <v>310</v>
      </c>
      <c r="F51" s="10">
        <v>310</v>
      </c>
      <c r="G51" s="10">
        <v>310</v>
      </c>
      <c r="H51" s="10">
        <v>310</v>
      </c>
      <c r="I51" s="10">
        <v>310</v>
      </c>
      <c r="J51" s="10">
        <v>310</v>
      </c>
      <c r="K51" s="10">
        <v>310</v>
      </c>
      <c r="L51" s="10">
        <v>310</v>
      </c>
      <c r="M51" s="10">
        <v>310</v>
      </c>
      <c r="N51" s="10">
        <v>310</v>
      </c>
      <c r="O51" s="185">
        <v>310</v>
      </c>
    </row>
    <row r="52" spans="2:15">
      <c r="B52" s="8">
        <v>39</v>
      </c>
      <c r="C52" s="188" t="s">
        <v>159</v>
      </c>
      <c r="D52" s="185">
        <v>301</v>
      </c>
      <c r="E52" s="185">
        <v>301</v>
      </c>
      <c r="F52" s="185">
        <v>301</v>
      </c>
      <c r="G52" s="185">
        <v>301</v>
      </c>
      <c r="H52" s="185">
        <v>301</v>
      </c>
      <c r="I52" s="185">
        <v>301</v>
      </c>
      <c r="J52" s="185">
        <v>301</v>
      </c>
      <c r="K52" s="185">
        <v>301</v>
      </c>
      <c r="L52" s="185">
        <v>301</v>
      </c>
      <c r="M52" s="185">
        <v>301</v>
      </c>
      <c r="N52" s="185">
        <v>301</v>
      </c>
      <c r="O52" s="185">
        <v>301</v>
      </c>
    </row>
    <row r="53" spans="2:15">
      <c r="B53" s="8">
        <v>57</v>
      </c>
      <c r="C53" s="188" t="s">
        <v>215</v>
      </c>
      <c r="D53" s="191">
        <v>0</v>
      </c>
      <c r="E53" s="191">
        <v>0</v>
      </c>
      <c r="F53" s="191">
        <v>0</v>
      </c>
      <c r="G53" s="191">
        <v>0</v>
      </c>
      <c r="H53" s="191">
        <v>0</v>
      </c>
      <c r="I53" s="191">
        <v>0</v>
      </c>
      <c r="J53" s="191">
        <v>0</v>
      </c>
      <c r="K53" s="191">
        <v>0</v>
      </c>
      <c r="L53" s="191">
        <v>0</v>
      </c>
      <c r="M53" s="191">
        <v>0</v>
      </c>
      <c r="N53" s="191">
        <v>0</v>
      </c>
      <c r="O53" s="185">
        <v>280</v>
      </c>
    </row>
    <row r="54" spans="2:15">
      <c r="B54" s="8">
        <v>44</v>
      </c>
      <c r="C54" s="188" t="s">
        <v>163</v>
      </c>
      <c r="D54" s="191">
        <v>0</v>
      </c>
      <c r="E54" s="207">
        <v>0</v>
      </c>
      <c r="F54" s="191">
        <v>0</v>
      </c>
      <c r="G54" s="191">
        <v>0</v>
      </c>
      <c r="H54" s="191">
        <v>0</v>
      </c>
      <c r="I54" s="191">
        <v>0</v>
      </c>
      <c r="J54" s="191">
        <v>0</v>
      </c>
      <c r="K54" s="191">
        <v>0</v>
      </c>
      <c r="L54" s="191">
        <v>0</v>
      </c>
      <c r="M54" s="191">
        <v>0</v>
      </c>
      <c r="N54" s="191">
        <v>0</v>
      </c>
      <c r="O54" s="185">
        <v>250</v>
      </c>
    </row>
    <row r="55" spans="2:15">
      <c r="B55" s="8">
        <v>46</v>
      </c>
      <c r="C55" s="188" t="s">
        <v>165</v>
      </c>
      <c r="D55" s="10">
        <v>250</v>
      </c>
      <c r="E55" s="10">
        <v>250</v>
      </c>
      <c r="F55" s="10">
        <v>250</v>
      </c>
      <c r="G55" s="10">
        <v>250</v>
      </c>
      <c r="H55" s="10">
        <v>250</v>
      </c>
      <c r="I55" s="10">
        <v>250</v>
      </c>
      <c r="J55" s="10">
        <v>250</v>
      </c>
      <c r="K55" s="10">
        <v>250</v>
      </c>
      <c r="L55" s="10">
        <v>250</v>
      </c>
      <c r="M55" s="10">
        <v>250</v>
      </c>
      <c r="N55" s="10">
        <v>250</v>
      </c>
      <c r="O55" s="185">
        <v>250</v>
      </c>
    </row>
    <row r="56" spans="2:15">
      <c r="B56" s="15">
        <v>36</v>
      </c>
      <c r="C56" s="71" t="s">
        <v>156</v>
      </c>
      <c r="D56" s="204">
        <v>247</v>
      </c>
      <c r="E56" s="204">
        <v>247</v>
      </c>
      <c r="F56" s="204">
        <v>247</v>
      </c>
      <c r="G56" s="204">
        <v>247</v>
      </c>
      <c r="H56" s="204">
        <v>247</v>
      </c>
      <c r="I56" s="204">
        <v>247</v>
      </c>
      <c r="J56" s="204">
        <v>247</v>
      </c>
      <c r="K56" s="204">
        <v>247</v>
      </c>
      <c r="L56" s="204">
        <v>247</v>
      </c>
      <c r="M56" s="204">
        <v>247</v>
      </c>
      <c r="N56" s="204">
        <v>247</v>
      </c>
      <c r="O56" s="204">
        <v>247</v>
      </c>
    </row>
    <row r="57" spans="2:15">
      <c r="B57" s="15">
        <v>70</v>
      </c>
      <c r="C57" s="188" t="s">
        <v>184</v>
      </c>
      <c r="D57" s="140">
        <v>227</v>
      </c>
      <c r="E57" s="140">
        <v>227</v>
      </c>
      <c r="F57" s="140">
        <v>227</v>
      </c>
      <c r="G57" s="140">
        <v>227</v>
      </c>
      <c r="H57" s="140">
        <v>227</v>
      </c>
      <c r="I57" s="140">
        <v>227</v>
      </c>
      <c r="J57" s="140">
        <v>227</v>
      </c>
      <c r="K57" s="140">
        <v>227</v>
      </c>
      <c r="L57" s="140">
        <v>227</v>
      </c>
      <c r="M57" s="140">
        <v>227</v>
      </c>
      <c r="N57" s="140">
        <v>227</v>
      </c>
      <c r="O57" s="140">
        <v>227</v>
      </c>
    </row>
    <row r="58" spans="2:15">
      <c r="B58" s="8">
        <v>56</v>
      </c>
      <c r="C58" s="71" t="s">
        <v>173</v>
      </c>
      <c r="D58" s="200">
        <v>220</v>
      </c>
      <c r="E58" s="200">
        <v>220</v>
      </c>
      <c r="F58" s="200">
        <v>220</v>
      </c>
      <c r="G58" s="200">
        <v>220</v>
      </c>
      <c r="H58" s="200">
        <v>220</v>
      </c>
      <c r="I58" s="200">
        <v>220</v>
      </c>
      <c r="J58" s="200">
        <v>220</v>
      </c>
      <c r="K58" s="200">
        <v>220</v>
      </c>
      <c r="L58" s="200">
        <v>220</v>
      </c>
      <c r="M58" s="200">
        <v>220</v>
      </c>
      <c r="N58" s="200">
        <v>220</v>
      </c>
      <c r="O58" s="141">
        <v>220</v>
      </c>
    </row>
    <row r="59" spans="2:15">
      <c r="B59" s="8">
        <v>75</v>
      </c>
      <c r="C59" s="71" t="s">
        <v>189</v>
      </c>
      <c r="D59" s="72">
        <v>209</v>
      </c>
      <c r="E59" s="72">
        <v>209</v>
      </c>
      <c r="F59" s="72">
        <v>209</v>
      </c>
      <c r="G59" s="72">
        <v>209</v>
      </c>
      <c r="H59" s="72">
        <v>209</v>
      </c>
      <c r="I59" s="72">
        <v>209</v>
      </c>
      <c r="J59" s="72">
        <v>209</v>
      </c>
      <c r="K59" s="72">
        <v>209</v>
      </c>
      <c r="L59" s="72">
        <v>209</v>
      </c>
      <c r="M59" s="72">
        <v>209</v>
      </c>
      <c r="N59" s="72">
        <v>209</v>
      </c>
      <c r="O59" s="141">
        <v>209</v>
      </c>
    </row>
    <row r="60" spans="2:15">
      <c r="B60" s="8">
        <v>48</v>
      </c>
      <c r="C60" s="71" t="s">
        <v>167</v>
      </c>
      <c r="D60" s="11">
        <v>163</v>
      </c>
      <c r="E60" s="11">
        <v>160</v>
      </c>
      <c r="F60" s="11">
        <v>161</v>
      </c>
      <c r="G60" s="11">
        <v>160</v>
      </c>
      <c r="H60" s="11">
        <v>177</v>
      </c>
      <c r="I60" s="11">
        <v>200</v>
      </c>
      <c r="J60" s="11">
        <v>200</v>
      </c>
      <c r="K60" s="11">
        <v>180</v>
      </c>
      <c r="L60" s="11">
        <v>196</v>
      </c>
      <c r="M60" s="11">
        <v>200</v>
      </c>
      <c r="N60" s="11">
        <v>200</v>
      </c>
      <c r="O60" s="193">
        <v>208</v>
      </c>
    </row>
    <row r="61" spans="2:15">
      <c r="B61" s="8">
        <v>81</v>
      </c>
      <c r="C61" s="188" t="s">
        <v>194</v>
      </c>
      <c r="D61" s="11">
        <v>200</v>
      </c>
      <c r="E61" s="11">
        <v>200</v>
      </c>
      <c r="F61" s="11">
        <v>200</v>
      </c>
      <c r="G61" s="11">
        <v>200</v>
      </c>
      <c r="H61" s="11">
        <v>200</v>
      </c>
      <c r="I61" s="11">
        <v>200</v>
      </c>
      <c r="J61" s="11">
        <v>200</v>
      </c>
      <c r="K61" s="11">
        <v>200</v>
      </c>
      <c r="L61" s="11">
        <v>200</v>
      </c>
      <c r="M61" s="11">
        <v>200</v>
      </c>
      <c r="N61" s="11">
        <v>200</v>
      </c>
      <c r="O61" s="185">
        <v>200</v>
      </c>
    </row>
    <row r="62" spans="2:15">
      <c r="B62" s="8">
        <v>86</v>
      </c>
      <c r="C62" s="197" t="s">
        <v>198</v>
      </c>
      <c r="D62" s="191">
        <v>0</v>
      </c>
      <c r="E62" s="191">
        <v>0</v>
      </c>
      <c r="F62" s="191">
        <v>0</v>
      </c>
      <c r="G62" s="191">
        <v>0</v>
      </c>
      <c r="H62" s="191">
        <v>0</v>
      </c>
      <c r="I62" s="191">
        <v>0</v>
      </c>
      <c r="J62" s="191">
        <v>0</v>
      </c>
      <c r="K62" s="191">
        <v>0</v>
      </c>
      <c r="L62" s="191">
        <v>0</v>
      </c>
      <c r="M62" s="191">
        <v>0</v>
      </c>
      <c r="N62" s="191">
        <v>0</v>
      </c>
      <c r="O62" s="185">
        <v>197</v>
      </c>
    </row>
    <row r="63" spans="2:15">
      <c r="B63" s="15">
        <v>42</v>
      </c>
      <c r="C63" s="188" t="s">
        <v>161</v>
      </c>
      <c r="D63" s="206">
        <v>190</v>
      </c>
      <c r="E63" s="206">
        <v>190</v>
      </c>
      <c r="F63" s="206">
        <v>190</v>
      </c>
      <c r="G63" s="206">
        <v>190</v>
      </c>
      <c r="H63" s="206">
        <v>190</v>
      </c>
      <c r="I63" s="206">
        <v>190</v>
      </c>
      <c r="J63" s="206">
        <v>190</v>
      </c>
      <c r="K63" s="206">
        <v>190</v>
      </c>
      <c r="L63" s="206">
        <v>190</v>
      </c>
      <c r="M63" s="206">
        <v>190</v>
      </c>
      <c r="N63" s="206">
        <v>190</v>
      </c>
      <c r="O63" s="206">
        <v>190</v>
      </c>
    </row>
    <row r="64" spans="2:15">
      <c r="B64" s="8">
        <v>59</v>
      </c>
      <c r="C64" s="188" t="s">
        <v>175</v>
      </c>
      <c r="D64" s="72">
        <v>180</v>
      </c>
      <c r="E64" s="72">
        <v>180</v>
      </c>
      <c r="F64" s="72">
        <v>180</v>
      </c>
      <c r="G64" s="72">
        <v>180</v>
      </c>
      <c r="H64" s="72">
        <v>180</v>
      </c>
      <c r="I64" s="72">
        <v>180</v>
      </c>
      <c r="J64" s="5">
        <v>180</v>
      </c>
      <c r="K64" s="5">
        <v>180</v>
      </c>
      <c r="L64" s="5">
        <v>180</v>
      </c>
      <c r="M64" s="5">
        <v>180</v>
      </c>
      <c r="N64" s="5">
        <v>180</v>
      </c>
      <c r="O64" s="193">
        <v>180</v>
      </c>
    </row>
    <row r="65" spans="2:15">
      <c r="B65" s="8">
        <v>67</v>
      </c>
      <c r="C65" s="71" t="s">
        <v>181</v>
      </c>
      <c r="D65" s="191">
        <v>0</v>
      </c>
      <c r="E65" s="191">
        <v>0</v>
      </c>
      <c r="F65" s="191">
        <v>0</v>
      </c>
      <c r="G65" s="191">
        <v>0</v>
      </c>
      <c r="H65" s="191">
        <v>0</v>
      </c>
      <c r="I65" s="191">
        <v>0</v>
      </c>
      <c r="J65" s="191">
        <v>0</v>
      </c>
      <c r="K65" s="191">
        <v>0</v>
      </c>
      <c r="L65" s="191">
        <v>0</v>
      </c>
      <c r="M65" s="191">
        <v>0</v>
      </c>
      <c r="N65" s="191">
        <v>0</v>
      </c>
      <c r="O65" s="185">
        <v>180</v>
      </c>
    </row>
    <row r="66" spans="2:15">
      <c r="B66" s="8">
        <v>63</v>
      </c>
      <c r="C66" s="188" t="s">
        <v>179</v>
      </c>
      <c r="D66" s="5">
        <v>157</v>
      </c>
      <c r="E66" s="5">
        <v>157</v>
      </c>
      <c r="F66" s="5">
        <v>157</v>
      </c>
      <c r="G66" s="5">
        <v>157</v>
      </c>
      <c r="H66" s="5">
        <v>157</v>
      </c>
      <c r="I66" s="5">
        <v>157</v>
      </c>
      <c r="J66" s="5">
        <v>157</v>
      </c>
      <c r="K66" s="5">
        <v>157</v>
      </c>
      <c r="L66" s="5">
        <v>157</v>
      </c>
      <c r="M66" s="5">
        <v>157</v>
      </c>
      <c r="N66" s="5">
        <v>157</v>
      </c>
      <c r="O66" s="193">
        <v>157</v>
      </c>
    </row>
    <row r="67" spans="2:15">
      <c r="B67" s="8">
        <v>47</v>
      </c>
      <c r="C67" s="71" t="s">
        <v>166</v>
      </c>
      <c r="D67" s="11">
        <v>150</v>
      </c>
      <c r="E67" s="11">
        <v>150</v>
      </c>
      <c r="F67" s="11">
        <v>150</v>
      </c>
      <c r="G67" s="11">
        <v>124</v>
      </c>
      <c r="H67" s="11">
        <v>150</v>
      </c>
      <c r="I67" s="11">
        <v>157</v>
      </c>
      <c r="J67" s="11">
        <v>150</v>
      </c>
      <c r="K67" s="11">
        <v>152</v>
      </c>
      <c r="L67" s="11">
        <v>150</v>
      </c>
      <c r="M67" s="11">
        <v>110</v>
      </c>
      <c r="N67" s="11">
        <v>189</v>
      </c>
      <c r="O67" s="185">
        <v>150</v>
      </c>
    </row>
    <row r="68" spans="2:15">
      <c r="B68" s="8">
        <v>55</v>
      </c>
      <c r="C68" s="188" t="s">
        <v>172</v>
      </c>
      <c r="D68" s="201">
        <v>0</v>
      </c>
      <c r="E68" s="201">
        <v>0</v>
      </c>
      <c r="F68" s="201">
        <v>0</v>
      </c>
      <c r="G68" s="201">
        <v>0</v>
      </c>
      <c r="H68" s="201">
        <v>0</v>
      </c>
      <c r="I68" s="201">
        <v>0</v>
      </c>
      <c r="J68" s="201">
        <v>0</v>
      </c>
      <c r="K68" s="201">
        <v>0</v>
      </c>
      <c r="L68" s="201">
        <v>0</v>
      </c>
      <c r="M68" s="201">
        <v>0</v>
      </c>
      <c r="N68" s="201">
        <v>0</v>
      </c>
      <c r="O68" s="193">
        <v>150</v>
      </c>
    </row>
    <row r="69" spans="2:15">
      <c r="B69" s="8">
        <v>64</v>
      </c>
      <c r="C69" s="188" t="s">
        <v>4</v>
      </c>
      <c r="D69" s="72">
        <v>150</v>
      </c>
      <c r="E69" s="72">
        <v>150</v>
      </c>
      <c r="F69" s="72">
        <v>150</v>
      </c>
      <c r="G69" s="72">
        <v>150</v>
      </c>
      <c r="H69" s="72">
        <v>150</v>
      </c>
      <c r="I69" s="72">
        <v>150</v>
      </c>
      <c r="J69" s="72">
        <v>150</v>
      </c>
      <c r="K69" s="72">
        <v>150</v>
      </c>
      <c r="L69" s="72">
        <v>150</v>
      </c>
      <c r="M69" s="72">
        <v>150</v>
      </c>
      <c r="N69" s="72">
        <v>150</v>
      </c>
      <c r="O69" s="141">
        <v>150</v>
      </c>
    </row>
    <row r="70" spans="2:15">
      <c r="B70" s="8">
        <v>90</v>
      </c>
      <c r="C70" s="211" t="s">
        <v>216</v>
      </c>
      <c r="D70" s="191">
        <v>0</v>
      </c>
      <c r="E70" s="191">
        <v>0</v>
      </c>
      <c r="F70" s="191">
        <v>0</v>
      </c>
      <c r="G70" s="191">
        <v>0</v>
      </c>
      <c r="H70" s="191">
        <v>0</v>
      </c>
      <c r="I70" s="191">
        <v>0</v>
      </c>
      <c r="J70" s="191">
        <v>0</v>
      </c>
      <c r="K70" s="191">
        <v>0</v>
      </c>
      <c r="L70" s="191">
        <v>0</v>
      </c>
      <c r="M70" s="191">
        <v>0</v>
      </c>
      <c r="N70" s="191">
        <v>0</v>
      </c>
      <c r="O70" s="141">
        <v>140</v>
      </c>
    </row>
    <row r="71" spans="2:15">
      <c r="B71" s="8">
        <v>73</v>
      </c>
      <c r="C71" s="71" t="s">
        <v>187</v>
      </c>
      <c r="D71" s="72">
        <v>137</v>
      </c>
      <c r="E71" s="72">
        <v>137</v>
      </c>
      <c r="F71" s="72">
        <v>137</v>
      </c>
      <c r="G71" s="72">
        <v>137</v>
      </c>
      <c r="H71" s="72">
        <v>137</v>
      </c>
      <c r="I71" s="72">
        <v>137</v>
      </c>
      <c r="J71" s="72">
        <v>137</v>
      </c>
      <c r="K71" s="72">
        <v>137</v>
      </c>
      <c r="L71" s="72">
        <v>137</v>
      </c>
      <c r="M71" s="72">
        <v>137</v>
      </c>
      <c r="N71" s="72">
        <v>137</v>
      </c>
      <c r="O71" s="141">
        <v>137</v>
      </c>
    </row>
    <row r="72" spans="2:15">
      <c r="B72" s="8">
        <v>82</v>
      </c>
      <c r="C72" s="188" t="s">
        <v>195</v>
      </c>
      <c r="D72" s="72">
        <v>130</v>
      </c>
      <c r="E72" s="72">
        <v>130</v>
      </c>
      <c r="F72" s="72">
        <v>130</v>
      </c>
      <c r="G72" s="72">
        <v>130</v>
      </c>
      <c r="H72" s="72">
        <v>130</v>
      </c>
      <c r="I72" s="72">
        <v>130</v>
      </c>
      <c r="J72" s="72">
        <v>130</v>
      </c>
      <c r="K72" s="72">
        <v>130</v>
      </c>
      <c r="L72" s="72">
        <v>130</v>
      </c>
      <c r="M72" s="72">
        <v>130</v>
      </c>
      <c r="N72" s="72">
        <v>130</v>
      </c>
      <c r="O72" s="185">
        <v>130</v>
      </c>
    </row>
    <row r="73" spans="2:15">
      <c r="B73" s="8">
        <v>62</v>
      </c>
      <c r="C73" s="209" t="s">
        <v>178</v>
      </c>
      <c r="D73" s="8">
        <v>124</v>
      </c>
      <c r="E73" s="8">
        <v>123</v>
      </c>
      <c r="F73" s="8">
        <v>122</v>
      </c>
      <c r="G73" s="8">
        <v>119</v>
      </c>
      <c r="H73" s="8">
        <v>123</v>
      </c>
      <c r="I73" s="8">
        <v>124</v>
      </c>
      <c r="J73" s="8">
        <v>125</v>
      </c>
      <c r="K73" s="8">
        <v>127</v>
      </c>
      <c r="L73" s="8">
        <v>127</v>
      </c>
      <c r="M73" s="8">
        <v>129</v>
      </c>
      <c r="N73" s="8">
        <v>130</v>
      </c>
      <c r="O73" s="8">
        <v>128</v>
      </c>
    </row>
    <row r="74" spans="2:15">
      <c r="B74" s="8">
        <v>51</v>
      </c>
      <c r="C74" s="188" t="s">
        <v>170</v>
      </c>
      <c r="D74" s="11">
        <v>120</v>
      </c>
      <c r="E74" s="11">
        <v>118</v>
      </c>
      <c r="F74" s="11">
        <v>121</v>
      </c>
      <c r="G74" s="11">
        <v>119</v>
      </c>
      <c r="H74" s="11">
        <v>115</v>
      </c>
      <c r="I74" s="11">
        <v>125</v>
      </c>
      <c r="J74" s="11">
        <v>123</v>
      </c>
      <c r="K74" s="11">
        <v>110</v>
      </c>
      <c r="L74" s="11">
        <v>113</v>
      </c>
      <c r="M74" s="11">
        <v>110</v>
      </c>
      <c r="N74" s="11">
        <v>102</v>
      </c>
      <c r="O74" s="11">
        <v>126</v>
      </c>
    </row>
    <row r="75" spans="2:15">
      <c r="B75" s="15">
        <v>50</v>
      </c>
      <c r="C75" s="188" t="s">
        <v>169</v>
      </c>
      <c r="D75" s="208">
        <v>92</v>
      </c>
      <c r="E75" s="208">
        <v>92</v>
      </c>
      <c r="F75" s="208">
        <v>92</v>
      </c>
      <c r="G75" s="208">
        <v>92</v>
      </c>
      <c r="H75" s="208">
        <v>92</v>
      </c>
      <c r="I75" s="208">
        <v>92</v>
      </c>
      <c r="J75" s="208">
        <v>92</v>
      </c>
      <c r="K75" s="208">
        <v>92</v>
      </c>
      <c r="L75" s="208">
        <v>92</v>
      </c>
      <c r="M75" s="208">
        <v>92</v>
      </c>
      <c r="N75" s="208">
        <v>92</v>
      </c>
      <c r="O75" s="208">
        <v>92</v>
      </c>
    </row>
    <row r="76" spans="2:15">
      <c r="B76" s="15">
        <v>61</v>
      </c>
      <c r="C76" s="188" t="s">
        <v>177</v>
      </c>
      <c r="D76" s="140">
        <v>81</v>
      </c>
      <c r="E76" s="140">
        <v>81</v>
      </c>
      <c r="F76" s="140">
        <v>81</v>
      </c>
      <c r="G76" s="140">
        <v>81</v>
      </c>
      <c r="H76" s="140">
        <v>81</v>
      </c>
      <c r="I76" s="140">
        <v>81</v>
      </c>
      <c r="J76" s="140">
        <v>81</v>
      </c>
      <c r="K76" s="140">
        <v>81</v>
      </c>
      <c r="L76" s="140">
        <v>81</v>
      </c>
      <c r="M76" s="140">
        <v>81</v>
      </c>
      <c r="N76" s="140">
        <v>81</v>
      </c>
      <c r="O76" s="140">
        <v>81</v>
      </c>
    </row>
    <row r="77" spans="2:15">
      <c r="B77" s="15">
        <v>65</v>
      </c>
      <c r="C77" s="188" t="s">
        <v>3</v>
      </c>
      <c r="D77" s="204">
        <v>72</v>
      </c>
      <c r="E77" s="204">
        <v>72</v>
      </c>
      <c r="F77" s="204">
        <v>72</v>
      </c>
      <c r="G77" s="204">
        <v>72</v>
      </c>
      <c r="H77" s="204">
        <v>72</v>
      </c>
      <c r="I77" s="204">
        <v>72</v>
      </c>
      <c r="J77" s="204">
        <v>72</v>
      </c>
      <c r="K77" s="204">
        <v>72</v>
      </c>
      <c r="L77" s="204">
        <v>72</v>
      </c>
      <c r="M77" s="204">
        <v>72</v>
      </c>
      <c r="N77" s="204">
        <v>72</v>
      </c>
      <c r="O77" s="204">
        <v>72</v>
      </c>
    </row>
    <row r="78" spans="2:15">
      <c r="B78" s="8">
        <v>30</v>
      </c>
      <c r="C78" s="188" t="s">
        <v>151</v>
      </c>
      <c r="D78" s="201">
        <v>0</v>
      </c>
      <c r="E78" s="201">
        <v>0</v>
      </c>
      <c r="F78" s="201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0</v>
      </c>
      <c r="L78" s="201">
        <v>0</v>
      </c>
      <c r="M78" s="201">
        <v>0</v>
      </c>
      <c r="N78" s="201">
        <v>0</v>
      </c>
      <c r="O78" s="141" t="s">
        <v>202</v>
      </c>
    </row>
    <row r="79" spans="2:15">
      <c r="B79" s="8">
        <v>33</v>
      </c>
      <c r="C79" s="71" t="s">
        <v>275</v>
      </c>
      <c r="D79" s="201">
        <v>0</v>
      </c>
      <c r="E79" s="201">
        <v>0</v>
      </c>
      <c r="F79" s="201">
        <v>0</v>
      </c>
      <c r="G79" s="201">
        <v>0</v>
      </c>
      <c r="H79" s="201">
        <v>0</v>
      </c>
      <c r="I79" s="201">
        <v>0</v>
      </c>
      <c r="J79" s="201">
        <v>0</v>
      </c>
      <c r="K79" s="201">
        <v>0</v>
      </c>
      <c r="L79" s="201">
        <v>0</v>
      </c>
      <c r="M79" s="201">
        <v>0</v>
      </c>
      <c r="N79" s="201">
        <v>0</v>
      </c>
      <c r="O79" s="141" t="s">
        <v>202</v>
      </c>
    </row>
    <row r="80" spans="2:15">
      <c r="B80" s="8">
        <v>45</v>
      </c>
      <c r="C80" s="188" t="s">
        <v>164</v>
      </c>
      <c r="D80" s="201">
        <v>0</v>
      </c>
      <c r="E80" s="201">
        <v>0</v>
      </c>
      <c r="F80" s="201">
        <v>0</v>
      </c>
      <c r="G80" s="201">
        <v>0</v>
      </c>
      <c r="H80" s="201">
        <v>0</v>
      </c>
      <c r="I80" s="201">
        <v>0</v>
      </c>
      <c r="J80" s="201">
        <v>0</v>
      </c>
      <c r="K80" s="201">
        <v>0</v>
      </c>
      <c r="L80" s="201">
        <v>0</v>
      </c>
      <c r="M80" s="201">
        <v>0</v>
      </c>
      <c r="N80" s="201">
        <v>0</v>
      </c>
      <c r="O80" s="141" t="s">
        <v>202</v>
      </c>
    </row>
    <row r="81" spans="2:15">
      <c r="B81" s="8">
        <v>54</v>
      </c>
      <c r="C81" s="188" t="s">
        <v>5</v>
      </c>
      <c r="D81" s="201">
        <v>0</v>
      </c>
      <c r="E81" s="201">
        <v>0</v>
      </c>
      <c r="F81" s="201">
        <v>0</v>
      </c>
      <c r="G81" s="201">
        <v>0</v>
      </c>
      <c r="H81" s="201">
        <v>0</v>
      </c>
      <c r="I81" s="201">
        <v>0</v>
      </c>
      <c r="J81" s="201">
        <v>0</v>
      </c>
      <c r="K81" s="201">
        <v>0</v>
      </c>
      <c r="L81" s="201">
        <v>0</v>
      </c>
      <c r="M81" s="201">
        <v>0</v>
      </c>
      <c r="N81" s="201">
        <v>0</v>
      </c>
      <c r="O81" s="141" t="s">
        <v>202</v>
      </c>
    </row>
    <row r="82" spans="2:15">
      <c r="B82" s="8">
        <v>60</v>
      </c>
      <c r="C82" s="188" t="s">
        <v>176</v>
      </c>
      <c r="D82" s="201">
        <v>0</v>
      </c>
      <c r="E82" s="201">
        <v>0</v>
      </c>
      <c r="F82" s="201">
        <v>0</v>
      </c>
      <c r="G82" s="201">
        <v>0</v>
      </c>
      <c r="H82" s="201">
        <v>0</v>
      </c>
      <c r="I82" s="201">
        <v>0</v>
      </c>
      <c r="J82" s="201">
        <v>0</v>
      </c>
      <c r="K82" s="201">
        <v>0</v>
      </c>
      <c r="L82" s="201">
        <v>0</v>
      </c>
      <c r="M82" s="201">
        <v>0</v>
      </c>
      <c r="N82" s="201">
        <v>0</v>
      </c>
      <c r="O82" s="141" t="s">
        <v>202</v>
      </c>
    </row>
    <row r="83" spans="2:15">
      <c r="B83" s="8">
        <v>66</v>
      </c>
      <c r="C83" s="209" t="s">
        <v>180</v>
      </c>
      <c r="D83" s="172">
        <v>0</v>
      </c>
      <c r="E83" s="172">
        <v>0</v>
      </c>
      <c r="F83" s="172">
        <v>0</v>
      </c>
      <c r="G83" s="172">
        <v>0</v>
      </c>
      <c r="H83" s="172">
        <v>0</v>
      </c>
      <c r="I83" s="172">
        <v>0</v>
      </c>
      <c r="J83" s="172">
        <v>0</v>
      </c>
      <c r="K83" s="172">
        <v>0</v>
      </c>
      <c r="L83" s="172">
        <v>0</v>
      </c>
      <c r="M83" s="172">
        <v>0</v>
      </c>
      <c r="N83" s="172">
        <v>0</v>
      </c>
      <c r="O83" s="141" t="s">
        <v>202</v>
      </c>
    </row>
    <row r="84" spans="2:15">
      <c r="B84" s="8">
        <v>68</v>
      </c>
      <c r="C84" s="71" t="s">
        <v>182</v>
      </c>
      <c r="D84" s="191">
        <v>0</v>
      </c>
      <c r="E84" s="191">
        <v>0</v>
      </c>
      <c r="F84" s="191">
        <v>0</v>
      </c>
      <c r="G84" s="191">
        <v>0</v>
      </c>
      <c r="H84" s="191">
        <v>0</v>
      </c>
      <c r="I84" s="191">
        <v>0</v>
      </c>
      <c r="J84" s="191">
        <v>0</v>
      </c>
      <c r="K84" s="191">
        <v>0</v>
      </c>
      <c r="L84" s="191">
        <v>0</v>
      </c>
      <c r="M84" s="191">
        <v>0</v>
      </c>
      <c r="N84" s="191">
        <v>0</v>
      </c>
      <c r="O84" s="141" t="s">
        <v>202</v>
      </c>
    </row>
    <row r="85" spans="2:15">
      <c r="B85" s="8">
        <v>69</v>
      </c>
      <c r="C85" s="188" t="s">
        <v>183</v>
      </c>
      <c r="D85" s="191">
        <v>0</v>
      </c>
      <c r="E85" s="191">
        <v>0</v>
      </c>
      <c r="F85" s="191">
        <v>0</v>
      </c>
      <c r="G85" s="191">
        <v>0</v>
      </c>
      <c r="H85" s="191">
        <v>0</v>
      </c>
      <c r="I85" s="191">
        <v>0</v>
      </c>
      <c r="J85" s="191">
        <v>0</v>
      </c>
      <c r="K85" s="191">
        <v>0</v>
      </c>
      <c r="L85" s="191">
        <v>0</v>
      </c>
      <c r="M85" s="191">
        <v>0</v>
      </c>
      <c r="N85" s="191">
        <v>0</v>
      </c>
      <c r="O85" s="141" t="s">
        <v>202</v>
      </c>
    </row>
    <row r="86" spans="2:15">
      <c r="B86" s="8">
        <v>71</v>
      </c>
      <c r="C86" s="188" t="s">
        <v>185</v>
      </c>
      <c r="D86" s="191">
        <v>0</v>
      </c>
      <c r="E86" s="191">
        <v>0</v>
      </c>
      <c r="F86" s="191">
        <v>0</v>
      </c>
      <c r="G86" s="191">
        <v>0</v>
      </c>
      <c r="H86" s="191">
        <v>0</v>
      </c>
      <c r="I86" s="191">
        <v>0</v>
      </c>
      <c r="J86" s="191">
        <v>0</v>
      </c>
      <c r="K86" s="191">
        <v>0</v>
      </c>
      <c r="L86" s="191">
        <v>0</v>
      </c>
      <c r="M86" s="191">
        <v>0</v>
      </c>
      <c r="N86" s="191">
        <v>0</v>
      </c>
      <c r="O86" s="141" t="s">
        <v>202</v>
      </c>
    </row>
    <row r="87" spans="2:15">
      <c r="B87" s="8">
        <v>72</v>
      </c>
      <c r="C87" s="188" t="s">
        <v>186</v>
      </c>
      <c r="D87" s="191">
        <v>0</v>
      </c>
      <c r="E87" s="191">
        <v>0</v>
      </c>
      <c r="F87" s="191">
        <v>0</v>
      </c>
      <c r="G87" s="191">
        <v>0</v>
      </c>
      <c r="H87" s="191">
        <v>0</v>
      </c>
      <c r="I87" s="191">
        <v>0</v>
      </c>
      <c r="J87" s="191">
        <v>0</v>
      </c>
      <c r="K87" s="191">
        <v>0</v>
      </c>
      <c r="L87" s="191">
        <v>0</v>
      </c>
      <c r="M87" s="191">
        <v>0</v>
      </c>
      <c r="N87" s="191">
        <v>0</v>
      </c>
      <c r="O87" s="141" t="s">
        <v>202</v>
      </c>
    </row>
    <row r="88" spans="2:15">
      <c r="B88" s="8">
        <v>74</v>
      </c>
      <c r="C88" s="188" t="s">
        <v>188</v>
      </c>
      <c r="D88" s="191">
        <v>0</v>
      </c>
      <c r="E88" s="191">
        <v>0</v>
      </c>
      <c r="F88" s="191">
        <v>0</v>
      </c>
      <c r="G88" s="191">
        <v>0</v>
      </c>
      <c r="H88" s="191">
        <v>0</v>
      </c>
      <c r="I88" s="191">
        <v>0</v>
      </c>
      <c r="J88" s="191">
        <v>0</v>
      </c>
      <c r="K88" s="191">
        <v>0</v>
      </c>
      <c r="L88" s="191">
        <v>0</v>
      </c>
      <c r="M88" s="191">
        <v>0</v>
      </c>
      <c r="N88" s="191">
        <v>0</v>
      </c>
      <c r="O88" s="141" t="s">
        <v>202</v>
      </c>
    </row>
    <row r="89" spans="2:15">
      <c r="B89" s="8">
        <v>76</v>
      </c>
      <c r="C89" s="188" t="s">
        <v>190</v>
      </c>
      <c r="D89" s="191">
        <v>0</v>
      </c>
      <c r="E89" s="191">
        <v>0</v>
      </c>
      <c r="F89" s="191">
        <v>0</v>
      </c>
      <c r="G89" s="191">
        <v>0</v>
      </c>
      <c r="H89" s="191">
        <v>0</v>
      </c>
      <c r="I89" s="191">
        <v>0</v>
      </c>
      <c r="J89" s="191">
        <v>0</v>
      </c>
      <c r="K89" s="191">
        <v>0</v>
      </c>
      <c r="L89" s="191">
        <v>0</v>
      </c>
      <c r="M89" s="191">
        <v>0</v>
      </c>
      <c r="N89" s="191">
        <v>0</v>
      </c>
      <c r="O89" s="141" t="s">
        <v>202</v>
      </c>
    </row>
    <row r="90" spans="2:15">
      <c r="B90" s="8">
        <v>77</v>
      </c>
      <c r="C90" s="188" t="s">
        <v>191</v>
      </c>
      <c r="D90" s="191">
        <v>0</v>
      </c>
      <c r="E90" s="191">
        <v>0</v>
      </c>
      <c r="F90" s="191">
        <v>0</v>
      </c>
      <c r="G90" s="191">
        <v>0</v>
      </c>
      <c r="H90" s="191">
        <v>0</v>
      </c>
      <c r="I90" s="191">
        <v>0</v>
      </c>
      <c r="J90" s="191">
        <v>0</v>
      </c>
      <c r="K90" s="191">
        <v>0</v>
      </c>
      <c r="L90" s="191">
        <v>0</v>
      </c>
      <c r="M90" s="191">
        <v>0</v>
      </c>
      <c r="N90" s="191">
        <v>0</v>
      </c>
      <c r="O90" s="141" t="s">
        <v>202</v>
      </c>
    </row>
    <row r="91" spans="2:15">
      <c r="B91" s="8">
        <v>78</v>
      </c>
      <c r="C91" s="188" t="s">
        <v>192</v>
      </c>
      <c r="D91" s="191">
        <v>0</v>
      </c>
      <c r="E91" s="191">
        <v>0</v>
      </c>
      <c r="F91" s="191">
        <v>0</v>
      </c>
      <c r="G91" s="191">
        <v>0</v>
      </c>
      <c r="H91" s="191">
        <v>0</v>
      </c>
      <c r="I91" s="191">
        <v>0</v>
      </c>
      <c r="J91" s="191">
        <v>0</v>
      </c>
      <c r="K91" s="191">
        <v>0</v>
      </c>
      <c r="L91" s="191">
        <v>0</v>
      </c>
      <c r="M91" s="191">
        <v>0</v>
      </c>
      <c r="N91" s="191">
        <v>0</v>
      </c>
      <c r="O91" s="141" t="s">
        <v>202</v>
      </c>
    </row>
    <row r="92" spans="2:15">
      <c r="B92" s="8">
        <v>83</v>
      </c>
      <c r="C92" s="210" t="s">
        <v>196</v>
      </c>
      <c r="D92" s="191">
        <v>0</v>
      </c>
      <c r="E92" s="191">
        <v>0</v>
      </c>
      <c r="F92" s="191">
        <v>0</v>
      </c>
      <c r="G92" s="191">
        <v>0</v>
      </c>
      <c r="H92" s="191">
        <v>0</v>
      </c>
      <c r="I92" s="191">
        <v>0</v>
      </c>
      <c r="J92" s="191">
        <v>0</v>
      </c>
      <c r="K92" s="191">
        <v>0</v>
      </c>
      <c r="L92" s="191">
        <v>0</v>
      </c>
      <c r="M92" s="191">
        <v>0</v>
      </c>
      <c r="N92" s="191">
        <v>0</v>
      </c>
      <c r="O92" s="141" t="s">
        <v>202</v>
      </c>
    </row>
    <row r="93" spans="2:15" ht="15.75" thickBot="1">
      <c r="B93" s="8">
        <v>84</v>
      </c>
      <c r="C93" s="188" t="s">
        <v>15</v>
      </c>
      <c r="D93" s="191">
        <v>0</v>
      </c>
      <c r="E93" s="191">
        <v>0</v>
      </c>
      <c r="F93" s="191">
        <v>0</v>
      </c>
      <c r="G93" s="191">
        <v>0</v>
      </c>
      <c r="H93" s="191">
        <v>0</v>
      </c>
      <c r="I93" s="191">
        <v>0</v>
      </c>
      <c r="J93" s="191">
        <v>0</v>
      </c>
      <c r="K93" s="191">
        <v>0</v>
      </c>
      <c r="L93" s="191">
        <v>0</v>
      </c>
      <c r="M93" s="191">
        <v>0</v>
      </c>
      <c r="N93" s="191">
        <v>0</v>
      </c>
      <c r="O93" s="141" t="s">
        <v>202</v>
      </c>
    </row>
    <row r="94" spans="2:15" ht="15.75" thickBot="1">
      <c r="B94" s="281" t="s">
        <v>276</v>
      </c>
      <c r="C94" s="282"/>
      <c r="D94" s="217">
        <f t="shared" ref="D94:O94" si="0">SUM(D4:D93)</f>
        <v>44231</v>
      </c>
      <c r="E94" s="215">
        <f t="shared" si="0"/>
        <v>45463</v>
      </c>
      <c r="F94" s="215">
        <f t="shared" si="0"/>
        <v>46154</v>
      </c>
      <c r="G94" s="215">
        <f t="shared" si="0"/>
        <v>45600</v>
      </c>
      <c r="H94" s="215">
        <f t="shared" si="0"/>
        <v>46125</v>
      </c>
      <c r="I94" s="215">
        <f t="shared" si="0"/>
        <v>46606</v>
      </c>
      <c r="J94" s="215">
        <f t="shared" si="0"/>
        <v>44472</v>
      </c>
      <c r="K94" s="215">
        <f t="shared" si="0"/>
        <v>44611</v>
      </c>
      <c r="L94" s="215">
        <f t="shared" si="0"/>
        <v>45605</v>
      </c>
      <c r="M94" s="215">
        <f t="shared" si="0"/>
        <v>45742</v>
      </c>
      <c r="N94" s="215">
        <f t="shared" si="0"/>
        <v>45967</v>
      </c>
      <c r="O94" s="216">
        <f t="shared" si="0"/>
        <v>302302</v>
      </c>
    </row>
    <row r="95" spans="2:15" ht="15.75" thickBot="1">
      <c r="B95" s="283" t="s">
        <v>277</v>
      </c>
      <c r="C95" s="284"/>
      <c r="D95" s="218">
        <v>37115447406</v>
      </c>
      <c r="E95" s="213">
        <v>33310432340</v>
      </c>
      <c r="F95" s="213">
        <v>36621907054</v>
      </c>
      <c r="G95" s="213">
        <v>34953550868</v>
      </c>
      <c r="H95" s="213">
        <v>36281715867</v>
      </c>
      <c r="I95" s="213">
        <v>36814808554</v>
      </c>
      <c r="J95" s="213">
        <v>37991585169</v>
      </c>
      <c r="K95" s="213">
        <v>39262584894</v>
      </c>
      <c r="L95" s="213">
        <v>38258036922</v>
      </c>
      <c r="M95" s="213">
        <v>38421742980</v>
      </c>
      <c r="N95" s="213">
        <v>36380641843</v>
      </c>
      <c r="O95" s="214">
        <v>35689432021</v>
      </c>
    </row>
    <row r="98" spans="2:15">
      <c r="B98" s="142" t="s">
        <v>213</v>
      </c>
      <c r="C98" s="143" t="s">
        <v>13</v>
      </c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2:15">
      <c r="B99" s="8">
        <v>1</v>
      </c>
      <c r="C99" s="53" t="s">
        <v>14</v>
      </c>
      <c r="D99" s="5">
        <v>150014</v>
      </c>
      <c r="E99" s="5">
        <v>150467</v>
      </c>
      <c r="F99" s="5">
        <v>154416</v>
      </c>
      <c r="G99" s="5">
        <v>157371</v>
      </c>
      <c r="H99" s="5">
        <v>159858</v>
      </c>
      <c r="I99" s="5">
        <v>162583</v>
      </c>
      <c r="J99" s="5">
        <v>166142</v>
      </c>
      <c r="K99" s="5">
        <v>168869</v>
      </c>
      <c r="L99" s="5">
        <v>170301</v>
      </c>
      <c r="M99" s="5">
        <v>171047</v>
      </c>
      <c r="N99" s="5">
        <v>171703</v>
      </c>
      <c r="O99" s="5">
        <v>172177</v>
      </c>
    </row>
    <row r="100" spans="2:15" ht="15.75" thickBot="1">
      <c r="B100" s="8">
        <v>2</v>
      </c>
      <c r="C100" s="4" t="s">
        <v>217</v>
      </c>
      <c r="D100" s="64">
        <v>56688</v>
      </c>
      <c r="E100" s="64">
        <v>58680</v>
      </c>
      <c r="F100" s="64">
        <v>56873</v>
      </c>
      <c r="G100" s="64">
        <v>55492</v>
      </c>
      <c r="H100" s="64">
        <v>56250</v>
      </c>
      <c r="I100" s="64">
        <v>56161</v>
      </c>
      <c r="J100" s="219">
        <v>56680</v>
      </c>
      <c r="K100" s="219">
        <v>57028</v>
      </c>
      <c r="L100" s="219">
        <v>58035</v>
      </c>
      <c r="M100" s="219">
        <v>55125</v>
      </c>
      <c r="N100" s="219">
        <v>54877</v>
      </c>
      <c r="O100" s="219">
        <v>56215</v>
      </c>
    </row>
    <row r="101" spans="2:15" ht="15.75" thickBot="1">
      <c r="B101" s="281" t="s">
        <v>276</v>
      </c>
      <c r="C101" s="282"/>
      <c r="D101" s="223">
        <f t="shared" ref="D101:O101" si="1">SUM(D99:D100)</f>
        <v>206702</v>
      </c>
      <c r="E101" s="224">
        <f t="shared" si="1"/>
        <v>209147</v>
      </c>
      <c r="F101" s="224">
        <f t="shared" si="1"/>
        <v>211289</v>
      </c>
      <c r="G101" s="224">
        <f t="shared" si="1"/>
        <v>212863</v>
      </c>
      <c r="H101" s="224">
        <f t="shared" si="1"/>
        <v>216108</v>
      </c>
      <c r="I101" s="224">
        <f t="shared" si="1"/>
        <v>218744</v>
      </c>
      <c r="J101" s="224">
        <f t="shared" si="1"/>
        <v>222822</v>
      </c>
      <c r="K101" s="224">
        <f t="shared" si="1"/>
        <v>225897</v>
      </c>
      <c r="L101" s="224">
        <f t="shared" si="1"/>
        <v>228336</v>
      </c>
      <c r="M101" s="224">
        <f t="shared" si="1"/>
        <v>226172</v>
      </c>
      <c r="N101" s="224">
        <f t="shared" si="1"/>
        <v>226580</v>
      </c>
      <c r="O101" s="225">
        <f t="shared" si="1"/>
        <v>228392</v>
      </c>
    </row>
    <row r="102" spans="2:15" ht="15.75" thickBot="1">
      <c r="B102" s="283" t="s">
        <v>277</v>
      </c>
      <c r="C102" s="284"/>
      <c r="D102" s="220">
        <v>28302541570</v>
      </c>
      <c r="E102" s="221">
        <v>28873795226</v>
      </c>
      <c r="F102" s="221">
        <v>29502357173</v>
      </c>
      <c r="G102" s="221">
        <v>29620736888</v>
      </c>
      <c r="H102" s="221">
        <v>30318157482</v>
      </c>
      <c r="I102" s="221">
        <v>30369380297</v>
      </c>
      <c r="J102" s="221">
        <v>30874857339</v>
      </c>
      <c r="K102" s="221">
        <v>31651985169</v>
      </c>
      <c r="L102" s="221">
        <v>31615898347</v>
      </c>
      <c r="M102" s="221">
        <v>31391033945</v>
      </c>
      <c r="N102" s="221">
        <v>31575503860</v>
      </c>
      <c r="O102" s="222">
        <v>31551126539</v>
      </c>
    </row>
    <row r="105" spans="2:15">
      <c r="B105" s="142" t="s">
        <v>213</v>
      </c>
      <c r="C105" s="14" t="s">
        <v>218</v>
      </c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2:15">
      <c r="B106" s="8">
        <v>1</v>
      </c>
      <c r="C106" s="19" t="s">
        <v>121</v>
      </c>
      <c r="D106" s="189">
        <v>0</v>
      </c>
      <c r="E106" s="189">
        <v>0</v>
      </c>
      <c r="F106" s="189">
        <v>0</v>
      </c>
      <c r="G106" s="189">
        <v>0</v>
      </c>
      <c r="H106" s="189">
        <v>0</v>
      </c>
      <c r="I106" s="189">
        <v>0</v>
      </c>
      <c r="J106" s="172">
        <v>0</v>
      </c>
      <c r="K106" s="172">
        <v>0</v>
      </c>
      <c r="L106" s="172">
        <v>0</v>
      </c>
      <c r="M106" s="172">
        <v>0</v>
      </c>
      <c r="N106" s="172">
        <v>0</v>
      </c>
      <c r="O106" s="10">
        <v>5764</v>
      </c>
    </row>
    <row r="107" spans="2:15" ht="15.75" thickBot="1">
      <c r="B107" s="8">
        <v>2</v>
      </c>
      <c r="C107" s="19" t="s">
        <v>219</v>
      </c>
      <c r="D107" s="234">
        <v>0</v>
      </c>
      <c r="E107" s="234">
        <v>0</v>
      </c>
      <c r="F107" s="226">
        <v>169</v>
      </c>
      <c r="G107" s="226">
        <v>230</v>
      </c>
      <c r="H107" s="226">
        <v>305</v>
      </c>
      <c r="I107" s="100">
        <v>424</v>
      </c>
      <c r="J107" s="226">
        <v>492</v>
      </c>
      <c r="K107" s="226">
        <v>552</v>
      </c>
      <c r="L107" s="226">
        <v>627</v>
      </c>
      <c r="M107" s="226">
        <v>684</v>
      </c>
      <c r="N107" s="226">
        <v>727</v>
      </c>
      <c r="O107" s="100">
        <v>765</v>
      </c>
    </row>
    <row r="108" spans="2:15" ht="15.75" thickBot="1">
      <c r="B108" s="281" t="s">
        <v>276</v>
      </c>
      <c r="C108" s="282"/>
      <c r="D108" s="217">
        <f>SUM(D106:D107)</f>
        <v>0</v>
      </c>
      <c r="E108" s="215">
        <f t="shared" ref="E108:O108" si="2">SUM(E106:E107)</f>
        <v>0</v>
      </c>
      <c r="F108" s="215">
        <f t="shared" si="2"/>
        <v>169</v>
      </c>
      <c r="G108" s="215">
        <f t="shared" si="2"/>
        <v>230</v>
      </c>
      <c r="H108" s="215">
        <f t="shared" si="2"/>
        <v>305</v>
      </c>
      <c r="I108" s="215">
        <f t="shared" si="2"/>
        <v>424</v>
      </c>
      <c r="J108" s="215">
        <f t="shared" si="2"/>
        <v>492</v>
      </c>
      <c r="K108" s="215">
        <f t="shared" si="2"/>
        <v>552</v>
      </c>
      <c r="L108" s="215">
        <f t="shared" si="2"/>
        <v>627</v>
      </c>
      <c r="M108" s="215">
        <f t="shared" si="2"/>
        <v>684</v>
      </c>
      <c r="N108" s="215">
        <f t="shared" si="2"/>
        <v>727</v>
      </c>
      <c r="O108" s="216">
        <f t="shared" si="2"/>
        <v>6529</v>
      </c>
    </row>
    <row r="109" spans="2:15" ht="15.75" thickBot="1">
      <c r="B109" s="283" t="s">
        <v>277</v>
      </c>
      <c r="C109" s="284"/>
      <c r="D109" s="227">
        <v>712991750</v>
      </c>
      <c r="E109" s="228">
        <v>722148969</v>
      </c>
      <c r="F109" s="228">
        <v>681046344</v>
      </c>
      <c r="G109" s="228">
        <v>733781558</v>
      </c>
      <c r="H109" s="228">
        <v>680580389</v>
      </c>
      <c r="I109" s="228">
        <v>685345631</v>
      </c>
      <c r="J109" s="228">
        <v>723337048</v>
      </c>
      <c r="K109" s="228">
        <v>715338519</v>
      </c>
      <c r="L109" s="228">
        <v>720039695</v>
      </c>
      <c r="M109" s="228">
        <v>715414208</v>
      </c>
      <c r="N109" s="228">
        <v>716749335</v>
      </c>
      <c r="O109" s="229">
        <v>719701533</v>
      </c>
    </row>
    <row r="112" spans="2:15">
      <c r="B112" s="142" t="s">
        <v>213</v>
      </c>
      <c r="C112" s="144" t="s">
        <v>220</v>
      </c>
      <c r="D112" s="230">
        <v>43070</v>
      </c>
    </row>
    <row r="113" spans="2:4">
      <c r="B113" s="15">
        <v>1</v>
      </c>
      <c r="C113" s="15" t="s">
        <v>221</v>
      </c>
      <c r="D113" s="10">
        <v>73268</v>
      </c>
    </row>
    <row r="114" spans="2:4" ht="15.75" thickBot="1">
      <c r="B114" s="8">
        <v>2</v>
      </c>
      <c r="C114" s="3" t="s">
        <v>12</v>
      </c>
      <c r="D114" s="231" t="s">
        <v>202</v>
      </c>
    </row>
    <row r="115" spans="2:4" ht="15.75" thickBot="1">
      <c r="B115" s="281" t="s">
        <v>276</v>
      </c>
      <c r="C115" s="282"/>
      <c r="D115" s="232">
        <f>SUM(D113:D114)</f>
        <v>73268</v>
      </c>
    </row>
  </sheetData>
  <mergeCells count="9">
    <mergeCell ref="B94:C94"/>
    <mergeCell ref="B95:C95"/>
    <mergeCell ref="B2:B3"/>
    <mergeCell ref="C2:C3"/>
    <mergeCell ref="B115:C115"/>
    <mergeCell ref="B101:C101"/>
    <mergeCell ref="B102:C102"/>
    <mergeCell ref="B108:C108"/>
    <mergeCell ref="B109:C109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F13" sqref="F13"/>
    </sheetView>
  </sheetViews>
  <sheetFormatPr baseColWidth="10" defaultRowHeight="15"/>
  <cols>
    <col min="2" max="2" width="19.5703125" bestFit="1" customWidth="1"/>
    <col min="3" max="3" width="15.140625" bestFit="1" customWidth="1"/>
    <col min="7" max="7" width="64.28515625" bestFit="1" customWidth="1"/>
    <col min="8" max="8" width="16.28515625" bestFit="1" customWidth="1"/>
  </cols>
  <sheetData>
    <row r="1" spans="2:9">
      <c r="G1" s="54"/>
      <c r="H1" s="54"/>
      <c r="I1" s="54"/>
    </row>
    <row r="2" spans="2:9">
      <c r="G2" s="54"/>
      <c r="H2" s="54"/>
      <c r="I2" s="54"/>
    </row>
    <row r="3" spans="2:9">
      <c r="C3" s="51">
        <v>43070</v>
      </c>
      <c r="G3" s="180"/>
      <c r="H3" s="181"/>
      <c r="I3" s="54"/>
    </row>
    <row r="4" spans="2:9">
      <c r="C4" s="51" t="s">
        <v>256</v>
      </c>
      <c r="G4" s="180"/>
      <c r="H4" s="181"/>
      <c r="I4" s="54"/>
    </row>
    <row r="5" spans="2:9">
      <c r="B5" s="184" t="s">
        <v>257</v>
      </c>
      <c r="C5" s="178">
        <v>21444060453</v>
      </c>
      <c r="G5" s="182"/>
      <c r="H5" s="54"/>
      <c r="I5" s="54"/>
    </row>
    <row r="6" spans="2:9">
      <c r="B6" s="184" t="s">
        <v>258</v>
      </c>
      <c r="C6" s="233" t="s">
        <v>278</v>
      </c>
      <c r="G6" s="54"/>
      <c r="H6" s="54"/>
      <c r="I6" s="54"/>
    </row>
    <row r="7" spans="2:9">
      <c r="B7" s="184" t="s">
        <v>119</v>
      </c>
      <c r="C7" s="11">
        <v>35689432021</v>
      </c>
      <c r="G7" s="54"/>
      <c r="H7" s="54"/>
      <c r="I7" s="54"/>
    </row>
    <row r="8" spans="2:9">
      <c r="B8" s="184" t="s">
        <v>13</v>
      </c>
      <c r="C8" s="11">
        <v>33898001073</v>
      </c>
      <c r="G8" s="183"/>
      <c r="H8" s="181"/>
      <c r="I8" s="54"/>
    </row>
    <row r="9" spans="2:9">
      <c r="B9" s="184" t="s">
        <v>259</v>
      </c>
      <c r="C9" s="11">
        <v>719701533</v>
      </c>
      <c r="G9" s="182"/>
      <c r="H9" s="54"/>
      <c r="I9" s="54"/>
    </row>
    <row r="10" spans="2:9">
      <c r="B10" s="184" t="s">
        <v>279</v>
      </c>
      <c r="C10" s="233" t="s">
        <v>278</v>
      </c>
      <c r="G10" s="54"/>
      <c r="H10" s="54"/>
      <c r="I10" s="54"/>
    </row>
    <row r="11" spans="2:9">
      <c r="G11" s="179"/>
      <c r="H11" s="181"/>
      <c r="I11" s="54"/>
    </row>
    <row r="12" spans="2:9">
      <c r="G12" s="182"/>
      <c r="H12" s="54"/>
      <c r="I12" s="54"/>
    </row>
    <row r="13" spans="2:9">
      <c r="G13" s="54"/>
      <c r="H13" s="54"/>
      <c r="I13" s="54"/>
    </row>
    <row r="14" spans="2:9">
      <c r="G14" s="54"/>
      <c r="H14" s="54"/>
      <c r="I14" s="54"/>
    </row>
    <row r="15" spans="2:9">
      <c r="G15" s="54"/>
      <c r="H15" s="54"/>
      <c r="I15" s="5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Telefonia</vt:lpstr>
      <vt:lpstr>Tráfico de llamadas de Voz </vt:lpstr>
      <vt:lpstr>Tráfico de SMS</vt:lpstr>
      <vt:lpstr>smartphones+tablets</vt:lpstr>
      <vt:lpstr>Internet x velocidad 2017</vt:lpstr>
      <vt:lpstr>Internet x tec 2017</vt:lpstr>
      <vt:lpstr>penetracion</vt:lpstr>
      <vt:lpstr>Tv Paga 17</vt:lpstr>
      <vt:lpstr>Ingresos a DIC-17</vt:lpstr>
    </vt:vector>
  </TitlesOfParts>
  <Company>CONATEL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Tito López</cp:lastModifiedBy>
  <cp:lastPrinted>2017-12-01T11:20:16Z</cp:lastPrinted>
  <dcterms:created xsi:type="dcterms:W3CDTF">2015-05-29T16:48:25Z</dcterms:created>
  <dcterms:modified xsi:type="dcterms:W3CDTF">2018-08-22T13:44:41Z</dcterms:modified>
</cp:coreProperties>
</file>